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admin1\Desktop\VVR Desk 2024-2025\Квартальные отчеты 3 кв 2024\АО 9\Меморандум 4 раунд\"/>
    </mc:Choice>
  </mc:AlternateContent>
  <xr:revisionPtr revIDLastSave="0" documentId="13_ncr:1_{202A97C4-7912-4A06-8A08-705889E6E816}" xr6:coauthVersionLast="47" xr6:coauthVersionMax="47" xr10:uidLastSave="{00000000-0000-0000-0000-000000000000}"/>
  <workbookProtection workbookAlgorithmName="SHA-512" workbookHashValue="PjHzm63znBVBBhbjLdbnQTcRXxe5yXeiqGysU9fKpTSpU57/ChK84v0pcgu6EjdHuM0a3N7CxOLlJRMrvnOhoA==" workbookSaltValue="5QoUz01eoUO7MEozfdS7+w==" workbookSpinCount="100000" lockStructure="1"/>
  <bookViews>
    <workbookView xWindow="-108" yWindow="-108" windowWidth="23256" windowHeight="12456" xr2:uid="{AB2B2000-33C3-4F49-B70E-255B4C158E7F}"/>
  </bookViews>
  <sheets>
    <sheet name="Калькулятор инвестора" sheetId="6" r:id="rId1"/>
    <sheet name="Перекресток - Совхоз Ленина" sheetId="2" r:id="rId2"/>
    <sheet name="Отчетность АО9 2024" sheetId="10" state="hidden" r:id="rId3"/>
    <sheet name="Лист3" sheetId="19" state="hidden" r:id="rId4"/>
    <sheet name="РТО Перекрестка" sheetId="12" state="hidden" r:id="rId5"/>
    <sheet name="Коммментарии" sheetId="17" state="hidden" r:id="rId6"/>
    <sheet name="Managing report_3Q24" sheetId="13" state="hidden" r:id="rId7"/>
    <sheet name="Stock Price &amp; Dividends  (2)" sheetId="16" state="hidden" r:id="rId8"/>
    <sheet name="Stock Price &amp; Dividends " sheetId="14" state="hidden" r:id="rId9"/>
    <sheet name="Лист1" sheetId="11" state="hidden" r:id="rId10"/>
    <sheet name="Sheet2" sheetId="4" state="hidden" r:id="rId11"/>
    <sheet name="Sheet1" sheetId="3" state="hidden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average_ticket" localSheetId="6">[1]Summary!#REF!</definedName>
    <definedName name="average_ticket" localSheetId="7">[1]Summary!#REF!</definedName>
    <definedName name="average_ticket" localSheetId="0">[1]Summary!#REF!</definedName>
    <definedName name="average_ticket">[1]Summary!#REF!</definedName>
    <definedName name="cap_rate">[1]Summary!$E$44</definedName>
    <definedName name="CIQWBGuid" hidden="1">"cbbf1435-9015-44fa-aa4b-7b5b54af4858"</definedName>
    <definedName name="circ">#REF!</definedName>
    <definedName name="Circular_switch">#REF!</definedName>
    <definedName name="dates">[1]Inputs!$89:$89</definedName>
    <definedName name="exit" localSheetId="6">#REF!</definedName>
    <definedName name="exit" localSheetId="7">#REF!</definedName>
    <definedName name="exit" localSheetId="1">'Перекресток - Совхоз Ленина'!$A$1</definedName>
    <definedName name="exit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43472.5939351852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TG">#REF!</definedName>
    <definedName name="re_value">[1]Summary!$E$48</definedName>
    <definedName name="sales">[1]Summary!$E$30</definedName>
    <definedName name="sales_2">[1]Summary!$E$32</definedName>
    <definedName name="Scenarios">#REF!</definedName>
    <definedName name="sens" localSheetId="6">#REF!</definedName>
    <definedName name="sens" localSheetId="7">#REF!</definedName>
    <definedName name="sens" localSheetId="0">'[2]Магнит Лыткарино'!$C$78</definedName>
    <definedName name="sens" localSheetId="1">'Перекресток - Совхоз Ленина'!#REF!</definedName>
    <definedName name="sens">#REF!</definedName>
    <definedName name="sens_factor" localSheetId="7">'[3]Magnit Lybertsy_model'!$C$61</definedName>
    <definedName name="sens_factor" localSheetId="0">'[4]Магнит Люберцы_10_лет'!$C$61</definedName>
    <definedName name="sens_factor">'Перекресток - Совхоз Ленина'!#REF!</definedName>
    <definedName name="services">[1]Summary!$E$46</definedName>
    <definedName name="share_of_district">[1]Summary!$E$38</definedName>
    <definedName name="support">#REF!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6" l="1"/>
  <c r="D22" i="6" s="1"/>
  <c r="D23" i="6" s="1"/>
  <c r="D15" i="6"/>
  <c r="B30" i="6" s="1"/>
  <c r="C30" i="6" s="1"/>
  <c r="BN153" i="2"/>
  <c r="BN151" i="2"/>
  <c r="BF140" i="2"/>
  <c r="BF139" i="2"/>
  <c r="BF138" i="2"/>
  <c r="BN138" i="2"/>
  <c r="BN137" i="2"/>
  <c r="BM140" i="2"/>
  <c r="BM138" i="2"/>
  <c r="BM137" i="2"/>
  <c r="BM136" i="2"/>
  <c r="BE164" i="2"/>
  <c r="BE166" i="2"/>
  <c r="BE163" i="2"/>
  <c r="BE161" i="2"/>
  <c r="BE160" i="2"/>
  <c r="BE151" i="2"/>
  <c r="BN166" i="2"/>
  <c r="BM166" i="2"/>
  <c r="BL166" i="2"/>
  <c r="BK166" i="2"/>
  <c r="BJ166" i="2"/>
  <c r="BI166" i="2"/>
  <c r="BH166" i="2"/>
  <c r="BG166" i="2"/>
  <c r="BF166" i="2"/>
  <c r="BN165" i="2"/>
  <c r="BM165" i="2"/>
  <c r="BL165" i="2"/>
  <c r="BK165" i="2"/>
  <c r="BJ165" i="2"/>
  <c r="BI165" i="2"/>
  <c r="BH165" i="2"/>
  <c r="BG165" i="2"/>
  <c r="BF165" i="2"/>
  <c r="BE165" i="2"/>
  <c r="BN164" i="2"/>
  <c r="BM164" i="2"/>
  <c r="BL164" i="2"/>
  <c r="BK164" i="2"/>
  <c r="BJ164" i="2"/>
  <c r="BI164" i="2"/>
  <c r="BH164" i="2"/>
  <c r="BG164" i="2"/>
  <c r="BF164" i="2"/>
  <c r="BN163" i="2"/>
  <c r="BM163" i="2"/>
  <c r="BL163" i="2"/>
  <c r="BK163" i="2"/>
  <c r="BJ163" i="2"/>
  <c r="BI163" i="2"/>
  <c r="BH163" i="2"/>
  <c r="BG163" i="2"/>
  <c r="BF163" i="2"/>
  <c r="BN162" i="2"/>
  <c r="BM162" i="2"/>
  <c r="BL162" i="2"/>
  <c r="BK162" i="2"/>
  <c r="BJ162" i="2"/>
  <c r="BI162" i="2"/>
  <c r="BH162" i="2"/>
  <c r="BG162" i="2"/>
  <c r="BF162" i="2"/>
  <c r="BN161" i="2"/>
  <c r="BM161" i="2"/>
  <c r="BL161" i="2"/>
  <c r="BK161" i="2"/>
  <c r="BJ161" i="2"/>
  <c r="BI161" i="2"/>
  <c r="BH161" i="2"/>
  <c r="BG161" i="2"/>
  <c r="BF161" i="2"/>
  <c r="BN160" i="2"/>
  <c r="BM160" i="2"/>
  <c r="BL160" i="2"/>
  <c r="BK160" i="2"/>
  <c r="BJ160" i="2"/>
  <c r="BI160" i="2"/>
  <c r="BH160" i="2"/>
  <c r="BG160" i="2"/>
  <c r="BF160" i="2"/>
  <c r="BM153" i="2"/>
  <c r="BL153" i="2"/>
  <c r="BK153" i="2"/>
  <c r="BJ153" i="2"/>
  <c r="BI153" i="2"/>
  <c r="BH153" i="2"/>
  <c r="BG153" i="2"/>
  <c r="BF153" i="2"/>
  <c r="BN152" i="2"/>
  <c r="BM152" i="2"/>
  <c r="BL152" i="2"/>
  <c r="BK152" i="2"/>
  <c r="BJ152" i="2"/>
  <c r="BI152" i="2"/>
  <c r="BH152" i="2"/>
  <c r="BG152" i="2"/>
  <c r="BF152" i="2"/>
  <c r="BE152" i="2"/>
  <c r="BM151" i="2"/>
  <c r="BL151" i="2"/>
  <c r="BK151" i="2"/>
  <c r="BJ151" i="2"/>
  <c r="BI151" i="2"/>
  <c r="BH151" i="2"/>
  <c r="BG151" i="2"/>
  <c r="BF151" i="2"/>
  <c r="BN147" i="2"/>
  <c r="BM147" i="2"/>
  <c r="BL147" i="2"/>
  <c r="BK147" i="2"/>
  <c r="BJ147" i="2"/>
  <c r="BI147" i="2"/>
  <c r="BH147" i="2"/>
  <c r="BG147" i="2"/>
  <c r="BF147" i="2"/>
  <c r="BE147" i="2"/>
  <c r="BN140" i="2"/>
  <c r="BL140" i="2"/>
  <c r="BK140" i="2"/>
  <c r="BJ140" i="2"/>
  <c r="BI140" i="2"/>
  <c r="BH140" i="2"/>
  <c r="BG140" i="2"/>
  <c r="BE140" i="2"/>
  <c r="BL137" i="2"/>
  <c r="BK137" i="2"/>
  <c r="BJ137" i="2"/>
  <c r="BI137" i="2"/>
  <c r="BH137" i="2"/>
  <c r="BG137" i="2"/>
  <c r="BF137" i="2"/>
  <c r="BE137" i="2"/>
  <c r="BN136" i="2"/>
  <c r="BL136" i="2"/>
  <c r="BK136" i="2"/>
  <c r="BJ136" i="2"/>
  <c r="BI136" i="2"/>
  <c r="BH136" i="2"/>
  <c r="BG136" i="2"/>
  <c r="BF136" i="2"/>
  <c r="BE136" i="2"/>
  <c r="BG2" i="2"/>
  <c r="BH2" i="2"/>
  <c r="BI2" i="2" s="1"/>
  <c r="BJ2" i="2" s="1"/>
  <c r="BK2" i="2" s="1"/>
  <c r="BL2" i="2" s="1"/>
  <c r="BM2" i="2" s="1"/>
  <c r="BN2" i="2" s="1"/>
  <c r="BF2" i="2"/>
  <c r="M2" i="2"/>
  <c r="N2" i="2"/>
  <c r="O2" i="2"/>
  <c r="P2" i="2"/>
  <c r="R2" i="2"/>
  <c r="S2" i="2"/>
  <c r="T2" i="2"/>
  <c r="V2" i="2"/>
  <c r="W2" i="2"/>
  <c r="X2" i="2"/>
  <c r="Z2" i="2"/>
  <c r="AA2" i="2"/>
  <c r="AB2" i="2"/>
  <c r="AD2" i="2"/>
  <c r="AE2" i="2"/>
  <c r="AF2" i="2"/>
  <c r="AH2" i="2"/>
  <c r="AI2" i="2"/>
  <c r="AJ2" i="2"/>
  <c r="AL2" i="2"/>
  <c r="AM2" i="2"/>
  <c r="AN2" i="2"/>
  <c r="AP2" i="2"/>
  <c r="AQ2" i="2"/>
  <c r="AR2" i="2"/>
  <c r="AT2" i="2"/>
  <c r="AU2" i="2"/>
  <c r="AV2" i="2"/>
  <c r="Q2" i="2"/>
  <c r="U2" i="2" s="1"/>
  <c r="Y2" i="2" s="1"/>
  <c r="AC2" i="2" s="1"/>
  <c r="AG2" i="2" s="1"/>
  <c r="AK2" i="2" s="1"/>
  <c r="AO2" i="2" s="1"/>
  <c r="AS2" i="2" s="1"/>
  <c r="AW2" i="2" s="1"/>
  <c r="L2" i="2"/>
  <c r="Q28" i="6"/>
  <c r="AC28" i="6" s="1"/>
  <c r="AO28" i="6" s="1"/>
  <c r="BA28" i="6" s="1"/>
  <c r="BM28" i="6" s="1"/>
  <c r="BY28" i="6" s="1"/>
  <c r="CK28" i="6" s="1"/>
  <c r="CW28" i="6" s="1"/>
  <c r="DI28" i="6" s="1"/>
  <c r="R28" i="6"/>
  <c r="AD28" i="6" s="1"/>
  <c r="AP28" i="6" s="1"/>
  <c r="BB28" i="6" s="1"/>
  <c r="BN28" i="6" s="1"/>
  <c r="BZ28" i="6" s="1"/>
  <c r="CL28" i="6" s="1"/>
  <c r="CX28" i="6" s="1"/>
  <c r="DJ28" i="6" s="1"/>
  <c r="S28" i="6"/>
  <c r="AE28" i="6" s="1"/>
  <c r="AQ28" i="6" s="1"/>
  <c r="BC28" i="6" s="1"/>
  <c r="BO28" i="6" s="1"/>
  <c r="CA28" i="6" s="1"/>
  <c r="CM28" i="6" s="1"/>
  <c r="CY28" i="6" s="1"/>
  <c r="DK28" i="6" s="1"/>
  <c r="T28" i="6"/>
  <c r="AF28" i="6" s="1"/>
  <c r="AR28" i="6" s="1"/>
  <c r="BD28" i="6" s="1"/>
  <c r="BP28" i="6" s="1"/>
  <c r="CB28" i="6" s="1"/>
  <c r="CN28" i="6" s="1"/>
  <c r="CZ28" i="6" s="1"/>
  <c r="DL28" i="6" s="1"/>
  <c r="U28" i="6"/>
  <c r="AG28" i="6" s="1"/>
  <c r="AS28" i="6" s="1"/>
  <c r="BE28" i="6" s="1"/>
  <c r="BQ28" i="6" s="1"/>
  <c r="CC28" i="6" s="1"/>
  <c r="CO28" i="6" s="1"/>
  <c r="DA28" i="6" s="1"/>
  <c r="DM28" i="6" s="1"/>
  <c r="V28" i="6"/>
  <c r="AH28" i="6" s="1"/>
  <c r="AT28" i="6" s="1"/>
  <c r="BF28" i="6" s="1"/>
  <c r="BR28" i="6" s="1"/>
  <c r="CD28" i="6" s="1"/>
  <c r="CP28" i="6" s="1"/>
  <c r="DB28" i="6" s="1"/>
  <c r="DN28" i="6" s="1"/>
  <c r="W28" i="6"/>
  <c r="AI28" i="6" s="1"/>
  <c r="AU28" i="6" s="1"/>
  <c r="BG28" i="6" s="1"/>
  <c r="BS28" i="6" s="1"/>
  <c r="CE28" i="6" s="1"/>
  <c r="CQ28" i="6" s="1"/>
  <c r="DC28" i="6" s="1"/>
  <c r="DO28" i="6" s="1"/>
  <c r="X28" i="6"/>
  <c r="AJ28" i="6" s="1"/>
  <c r="AV28" i="6" s="1"/>
  <c r="BH28" i="6" s="1"/>
  <c r="BT28" i="6" s="1"/>
  <c r="CF28" i="6" s="1"/>
  <c r="CR28" i="6" s="1"/>
  <c r="DD28" i="6" s="1"/>
  <c r="DP28" i="6" s="1"/>
  <c r="Y28" i="6"/>
  <c r="AK28" i="6" s="1"/>
  <c r="AW28" i="6" s="1"/>
  <c r="BI28" i="6" s="1"/>
  <c r="BU28" i="6" s="1"/>
  <c r="CG28" i="6" s="1"/>
  <c r="CS28" i="6" s="1"/>
  <c r="DE28" i="6" s="1"/>
  <c r="DQ28" i="6" s="1"/>
  <c r="Z28" i="6"/>
  <c r="AL28" i="6" s="1"/>
  <c r="AX28" i="6" s="1"/>
  <c r="BJ28" i="6" s="1"/>
  <c r="BV28" i="6" s="1"/>
  <c r="CH28" i="6" s="1"/>
  <c r="CT28" i="6" s="1"/>
  <c r="DF28" i="6" s="1"/>
  <c r="DR28" i="6" s="1"/>
  <c r="P28" i="6"/>
  <c r="AB28" i="6" s="1"/>
  <c r="AN28" i="6" s="1"/>
  <c r="AZ28" i="6" s="1"/>
  <c r="BL28" i="6" s="1"/>
  <c r="BX28" i="6" s="1"/>
  <c r="CJ28" i="6" s="1"/>
  <c r="CV28" i="6" s="1"/>
  <c r="DH28" i="6" s="1"/>
  <c r="O28" i="6"/>
  <c r="AA28" i="6" s="1"/>
  <c r="H147" i="2"/>
  <c r="N5" i="12"/>
  <c r="L169" i="2"/>
  <c r="C31" i="6" l="1"/>
  <c r="C32" i="6"/>
  <c r="AM28" i="6"/>
  <c r="AY28" i="6" s="1"/>
  <c r="BK28" i="6" s="1"/>
  <c r="BW28" i="6" s="1"/>
  <c r="CI28" i="6" s="1"/>
  <c r="CU28" i="6" s="1"/>
  <c r="DG28" i="6" s="1"/>
  <c r="P4" i="10"/>
  <c r="Q3" i="10"/>
  <c r="R3" i="10" s="1"/>
  <c r="H140" i="2"/>
  <c r="G140" i="2"/>
  <c r="M169" i="2"/>
  <c r="BE169" i="2" s="1"/>
  <c r="E55" i="10"/>
  <c r="G48" i="10"/>
  <c r="B31" i="6"/>
  <c r="E181" i="2"/>
  <c r="K195" i="2" s="1"/>
  <c r="H164" i="2"/>
  <c r="N195" i="2"/>
  <c r="M195" i="2"/>
  <c r="L195" i="2"/>
  <c r="J195" i="2"/>
  <c r="I195" i="2"/>
  <c r="H195" i="2"/>
  <c r="G195" i="2"/>
  <c r="F195" i="2"/>
  <c r="F192" i="2"/>
  <c r="G90" i="2"/>
  <c r="G192" i="2" s="1"/>
  <c r="H177" i="2"/>
  <c r="H151" i="2"/>
  <c r="G79" i="2"/>
  <c r="N6" i="2"/>
  <c r="I179" i="2"/>
  <c r="H65" i="2"/>
  <c r="G67" i="2"/>
  <c r="G65" i="2"/>
  <c r="G64" i="2"/>
  <c r="G63" i="2"/>
  <c r="G62" i="2"/>
  <c r="C33" i="6" l="1"/>
  <c r="K179" i="2"/>
  <c r="N12" i="2"/>
  <c r="BD122" i="2"/>
  <c r="N82" i="2"/>
  <c r="F80" i="2"/>
  <c r="G129" i="2"/>
  <c r="N14" i="2" l="1"/>
  <c r="J6" i="2" s="1"/>
  <c r="C1" i="2"/>
  <c r="C48" i="2" s="1"/>
  <c r="J179" i="2"/>
  <c r="G179" i="2"/>
  <c r="G177" i="2"/>
  <c r="B40" i="6"/>
  <c r="A39" i="6"/>
  <c r="D37" i="6"/>
  <c r="E37" i="6" s="1"/>
  <c r="F37" i="6" s="1"/>
  <c r="G37" i="6" s="1"/>
  <c r="H37" i="6" s="1"/>
  <c r="I37" i="6" s="1"/>
  <c r="J37" i="6" s="1"/>
  <c r="K37" i="6" s="1"/>
  <c r="L37" i="6" s="1"/>
  <c r="B33" i="6"/>
  <c r="D29" i="6"/>
  <c r="E29" i="6" s="1"/>
  <c r="F29" i="6" s="1"/>
  <c r="G29" i="6" s="1"/>
  <c r="C56" i="2"/>
  <c r="H235" i="2"/>
  <c r="G122" i="2"/>
  <c r="K122" i="2" s="1"/>
  <c r="P5" i="12"/>
  <c r="I122" i="2" s="1"/>
  <c r="S5" i="12"/>
  <c r="H122" i="2" s="1"/>
  <c r="L122" i="2" s="1"/>
  <c r="R5" i="12"/>
  <c r="Q5" i="12"/>
  <c r="J122" i="2" s="1"/>
  <c r="D4" i="12"/>
  <c r="E4" i="12" s="1"/>
  <c r="F4" i="12" s="1"/>
  <c r="G4" i="12" s="1"/>
  <c r="H4" i="12" s="1"/>
  <c r="I4" i="12" s="1"/>
  <c r="F93" i="2"/>
  <c r="G93" i="2"/>
  <c r="G85" i="2"/>
  <c r="G84" i="2"/>
  <c r="G83" i="2"/>
  <c r="G82" i="2"/>
  <c r="G81" i="2"/>
  <c r="G80" i="2"/>
  <c r="G78" i="2"/>
  <c r="H153" i="2" s="1"/>
  <c r="H63" i="2"/>
  <c r="H9" i="10"/>
  <c r="H28" i="13"/>
  <c r="H27" i="13"/>
  <c r="H24" i="13"/>
  <c r="H23" i="13"/>
  <c r="H22" i="13"/>
  <c r="K18" i="13"/>
  <c r="I10" i="10"/>
  <c r="I9" i="10"/>
  <c r="H10" i="10"/>
  <c r="I38" i="13"/>
  <c r="J39" i="13"/>
  <c r="C36" i="6" l="1"/>
  <c r="G123" i="2"/>
  <c r="B39" i="6"/>
  <c r="C46" i="2"/>
  <c r="H29" i="6"/>
  <c r="H123" i="2"/>
  <c r="J21" i="16"/>
  <c r="M16" i="16"/>
  <c r="N16" i="16" s="1"/>
  <c r="K16" i="16"/>
  <c r="N15" i="16"/>
  <c r="I21" i="16" s="1"/>
  <c r="M15" i="16"/>
  <c r="L15" i="16"/>
  <c r="K15" i="16"/>
  <c r="J15" i="16"/>
  <c r="I15" i="16"/>
  <c r="H15" i="16"/>
  <c r="G15" i="16"/>
  <c r="O14" i="16"/>
  <c r="N14" i="16"/>
  <c r="M14" i="16"/>
  <c r="L14" i="16"/>
  <c r="K14" i="16"/>
  <c r="J14" i="16"/>
  <c r="I14" i="16"/>
  <c r="H14" i="16"/>
  <c r="G14" i="16"/>
  <c r="F14" i="16"/>
  <c r="D36" i="6" l="1"/>
  <c r="N122" i="2"/>
  <c r="M122" i="2"/>
  <c r="I29" i="6"/>
  <c r="J29" i="6" s="1"/>
  <c r="K29" i="6" s="1"/>
  <c r="L29" i="6" s="1"/>
  <c r="M29" i="6" s="1"/>
  <c r="N29" i="6" s="1"/>
  <c r="O29" i="6" s="1"/>
  <c r="P29" i="6" s="1"/>
  <c r="Q29" i="6" s="1"/>
  <c r="R29" i="6" s="1"/>
  <c r="S29" i="6" s="1"/>
  <c r="T29" i="6" s="1"/>
  <c r="U29" i="6" s="1"/>
  <c r="V29" i="6" s="1"/>
  <c r="W29" i="6" s="1"/>
  <c r="X29" i="6" s="1"/>
  <c r="Y29" i="6" s="1"/>
  <c r="Z29" i="6" s="1"/>
  <c r="AA29" i="6" s="1"/>
  <c r="AB29" i="6" s="1"/>
  <c r="AC29" i="6" s="1"/>
  <c r="AD29" i="6" s="1"/>
  <c r="AE29" i="6" s="1"/>
  <c r="AF29" i="6" s="1"/>
  <c r="AG29" i="6" s="1"/>
  <c r="AH29" i="6" s="1"/>
  <c r="AI29" i="6" s="1"/>
  <c r="AJ29" i="6" s="1"/>
  <c r="AK29" i="6" s="1"/>
  <c r="AL29" i="6" s="1"/>
  <c r="AM29" i="6" s="1"/>
  <c r="AN29" i="6" s="1"/>
  <c r="AO29" i="6" s="1"/>
  <c r="AP29" i="6" s="1"/>
  <c r="AQ29" i="6" s="1"/>
  <c r="AR29" i="6" s="1"/>
  <c r="AS29" i="6" s="1"/>
  <c r="AT29" i="6" s="1"/>
  <c r="AU29" i="6" s="1"/>
  <c r="AV29" i="6" s="1"/>
  <c r="AW29" i="6" s="1"/>
  <c r="AX29" i="6" s="1"/>
  <c r="AY29" i="6" s="1"/>
  <c r="AZ29" i="6" s="1"/>
  <c r="BA29" i="6" s="1"/>
  <c r="BB29" i="6" s="1"/>
  <c r="BC29" i="6" s="1"/>
  <c r="BD29" i="6" s="1"/>
  <c r="BE29" i="6" s="1"/>
  <c r="BF29" i="6" s="1"/>
  <c r="BG29" i="6" s="1"/>
  <c r="BH29" i="6" s="1"/>
  <c r="BI29" i="6" s="1"/>
  <c r="BJ29" i="6" s="1"/>
  <c r="D30" i="6"/>
  <c r="I20" i="16"/>
  <c r="E30" i="6" l="1"/>
  <c r="D32" i="6"/>
  <c r="D31" i="6"/>
  <c r="E36" i="6"/>
  <c r="BK29" i="6"/>
  <c r="BL29" i="6" s="1"/>
  <c r="BM29" i="6" s="1"/>
  <c r="BN29" i="6" s="1"/>
  <c r="BO29" i="6" s="1"/>
  <c r="BP29" i="6" s="1"/>
  <c r="BQ29" i="6" s="1"/>
  <c r="BR29" i="6" s="1"/>
  <c r="BS29" i="6" s="1"/>
  <c r="BT29" i="6" s="1"/>
  <c r="BU29" i="6" s="1"/>
  <c r="BV29" i="6" s="1"/>
  <c r="BW29" i="6" s="1"/>
  <c r="BX29" i="6" s="1"/>
  <c r="BY29" i="6" s="1"/>
  <c r="BZ29" i="6" s="1"/>
  <c r="CA29" i="6" s="1"/>
  <c r="CB29" i="6" s="1"/>
  <c r="CC29" i="6" s="1"/>
  <c r="CD29" i="6" s="1"/>
  <c r="CE29" i="6" s="1"/>
  <c r="CF29" i="6" s="1"/>
  <c r="CG29" i="6" s="1"/>
  <c r="CH29" i="6" s="1"/>
  <c r="CI29" i="6" s="1"/>
  <c r="CJ29" i="6" s="1"/>
  <c r="CK29" i="6" s="1"/>
  <c r="CL29" i="6" s="1"/>
  <c r="CM29" i="6" s="1"/>
  <c r="CN29" i="6" s="1"/>
  <c r="CO29" i="6" s="1"/>
  <c r="CP29" i="6" s="1"/>
  <c r="CQ29" i="6" s="1"/>
  <c r="CR29" i="6" s="1"/>
  <c r="CS29" i="6" s="1"/>
  <c r="CT29" i="6" s="1"/>
  <c r="CU29" i="6" s="1"/>
  <c r="CV29" i="6" s="1"/>
  <c r="CW29" i="6" s="1"/>
  <c r="CX29" i="6" s="1"/>
  <c r="CY29" i="6" s="1"/>
  <c r="CZ29" i="6" s="1"/>
  <c r="DA29" i="6" s="1"/>
  <c r="DB29" i="6" s="1"/>
  <c r="DC29" i="6" s="1"/>
  <c r="DD29" i="6" s="1"/>
  <c r="DE29" i="6" s="1"/>
  <c r="DF29" i="6" s="1"/>
  <c r="DG29" i="6" s="1"/>
  <c r="DH29" i="6" s="1"/>
  <c r="DI29" i="6" s="1"/>
  <c r="DJ29" i="6" s="1"/>
  <c r="DK29" i="6" s="1"/>
  <c r="DL29" i="6" s="1"/>
  <c r="DM29" i="6" s="1"/>
  <c r="DN29" i="6" s="1"/>
  <c r="DO29" i="6" s="1"/>
  <c r="DP29" i="6" s="1"/>
  <c r="DQ29" i="6" s="1"/>
  <c r="DR29" i="6" s="1"/>
  <c r="I235" i="2"/>
  <c r="J235" i="2"/>
  <c r="J239" i="2" s="1"/>
  <c r="H30" i="13"/>
  <c r="G162" i="2"/>
  <c r="G163" i="2"/>
  <c r="G207" i="2"/>
  <c r="H220" i="2"/>
  <c r="H224" i="2" s="1"/>
  <c r="G50" i="10"/>
  <c r="G49" i="10"/>
  <c r="E56" i="10"/>
  <c r="E50" i="10"/>
  <c r="E49" i="10"/>
  <c r="H64" i="2" s="1"/>
  <c r="BB151" i="2"/>
  <c r="BA151" i="2"/>
  <c r="AZ151" i="2"/>
  <c r="AY151" i="2"/>
  <c r="AX151" i="2"/>
  <c r="AW151" i="2"/>
  <c r="AV151" i="2"/>
  <c r="I220" i="2"/>
  <c r="I224" i="2" s="1"/>
  <c r="J220" i="2"/>
  <c r="J224" i="2" s="1"/>
  <c r="F207" i="2"/>
  <c r="F198" i="2"/>
  <c r="F30" i="6" l="1"/>
  <c r="E32" i="6"/>
  <c r="F36" i="6"/>
  <c r="N169" i="2"/>
  <c r="I239" i="2"/>
  <c r="AU151" i="2"/>
  <c r="G30" i="6" l="1"/>
  <c r="F32" i="6"/>
  <c r="O169" i="2"/>
  <c r="P169" i="2" s="1"/>
  <c r="Q169" i="2" s="1"/>
  <c r="R169" i="2" s="1"/>
  <c r="BF169" i="2"/>
  <c r="G36" i="6"/>
  <c r="H30" i="6" l="1"/>
  <c r="G32" i="6"/>
  <c r="S169" i="2"/>
  <c r="T169" i="2" s="1"/>
  <c r="U169" i="2" s="1"/>
  <c r="V169" i="2" s="1"/>
  <c r="BG169" i="2"/>
  <c r="H36" i="6"/>
  <c r="I30" i="6" l="1"/>
  <c r="H32" i="6"/>
  <c r="W169" i="2"/>
  <c r="X169" i="2" s="1"/>
  <c r="Y169" i="2" s="1"/>
  <c r="Z169" i="2" s="1"/>
  <c r="BH169" i="2"/>
  <c r="I36" i="6"/>
  <c r="J30" i="6" l="1"/>
  <c r="I32" i="6"/>
  <c r="AA169" i="2"/>
  <c r="AB169" i="2" s="1"/>
  <c r="AC169" i="2" s="1"/>
  <c r="AD169" i="2" s="1"/>
  <c r="J36" i="6"/>
  <c r="I151" i="2"/>
  <c r="J38" i="13"/>
  <c r="I23" i="13"/>
  <c r="G66" i="2"/>
  <c r="F173" i="2" s="1"/>
  <c r="G119" i="2"/>
  <c r="H116" i="2" s="1"/>
  <c r="H118" i="2" s="1"/>
  <c r="G107" i="2"/>
  <c r="H105" i="2" s="1"/>
  <c r="G114" i="2"/>
  <c r="H111" i="2" s="1"/>
  <c r="H62" i="2"/>
  <c r="H179" i="2"/>
  <c r="N83" i="2"/>
  <c r="N84" i="2" s="1"/>
  <c r="G3" i="13"/>
  <c r="G145" i="2"/>
  <c r="G13" i="13" s="1"/>
  <c r="F145" i="2"/>
  <c r="G146" i="2"/>
  <c r="G14" i="13" s="1"/>
  <c r="F14" i="14"/>
  <c r="F30" i="13"/>
  <c r="H38" i="13"/>
  <c r="G38" i="13"/>
  <c r="K28" i="13"/>
  <c r="J28" i="13"/>
  <c r="I28" i="13"/>
  <c r="K27" i="13"/>
  <c r="J27" i="13"/>
  <c r="I27" i="13"/>
  <c r="K26" i="13"/>
  <c r="J26" i="13"/>
  <c r="K25" i="13"/>
  <c r="K24" i="13"/>
  <c r="J24" i="13"/>
  <c r="I24" i="13"/>
  <c r="K23" i="13"/>
  <c r="J23" i="13"/>
  <c r="G23" i="13"/>
  <c r="K22" i="13"/>
  <c r="J22" i="13"/>
  <c r="I22" i="13"/>
  <c r="J18" i="13"/>
  <c r="I18" i="13"/>
  <c r="H18" i="13"/>
  <c r="K15" i="13"/>
  <c r="G12" i="13"/>
  <c r="G6" i="13"/>
  <c r="F38" i="13"/>
  <c r="F16" i="14" s="1"/>
  <c r="F4" i="13"/>
  <c r="F23" i="13"/>
  <c r="F20" i="13"/>
  <c r="F12" i="13"/>
  <c r="F16" i="13"/>
  <c r="K30" i="6" l="1"/>
  <c r="J32" i="6"/>
  <c r="BI169" i="2"/>
  <c r="AE169" i="2"/>
  <c r="AF169" i="2" s="1"/>
  <c r="AG169" i="2" s="1"/>
  <c r="AH169" i="2" s="1"/>
  <c r="BJ169" i="2"/>
  <c r="C145" i="2"/>
  <c r="K36" i="6"/>
  <c r="H119" i="2"/>
  <c r="I16" i="13"/>
  <c r="H106" i="2"/>
  <c r="H107" i="2" s="1"/>
  <c r="I105" i="2" s="1"/>
  <c r="F13" i="13"/>
  <c r="G173" i="2"/>
  <c r="I153" i="2"/>
  <c r="G103" i="2"/>
  <c r="H101" i="2" s="1"/>
  <c r="H103" i="2" s="1"/>
  <c r="L30" i="6" l="1"/>
  <c r="K32" i="6"/>
  <c r="AI169" i="2"/>
  <c r="AJ169" i="2" s="1"/>
  <c r="AK169" i="2" s="1"/>
  <c r="AL169" i="2" s="1"/>
  <c r="BK169" i="2"/>
  <c r="L36" i="6"/>
  <c r="I106" i="2"/>
  <c r="I107" i="2" s="1"/>
  <c r="J105" i="2" s="1"/>
  <c r="J107" i="2" s="1"/>
  <c r="K105" i="2" s="1"/>
  <c r="K107" i="2" s="1"/>
  <c r="L105" i="2" s="1"/>
  <c r="L107" i="2" s="1"/>
  <c r="M105" i="2" s="1"/>
  <c r="M107" i="2" s="1"/>
  <c r="N105" i="2" s="1"/>
  <c r="N107" i="2" s="1"/>
  <c r="O105" i="2" s="1"/>
  <c r="O107" i="2" s="1"/>
  <c r="P105" i="2" s="1"/>
  <c r="P107" i="2" s="1"/>
  <c r="Q105" i="2" s="1"/>
  <c r="Q107" i="2" s="1"/>
  <c r="R105" i="2" s="1"/>
  <c r="R107" i="2" s="1"/>
  <c r="S105" i="2" s="1"/>
  <c r="S107" i="2" s="1"/>
  <c r="T105" i="2" s="1"/>
  <c r="T107" i="2" s="1"/>
  <c r="U105" i="2" s="1"/>
  <c r="U107" i="2" s="1"/>
  <c r="V105" i="2" s="1"/>
  <c r="V107" i="2" s="1"/>
  <c r="W105" i="2" s="1"/>
  <c r="W107" i="2" s="1"/>
  <c r="X105" i="2" s="1"/>
  <c r="X107" i="2" s="1"/>
  <c r="Y105" i="2" s="1"/>
  <c r="Y107" i="2" s="1"/>
  <c r="Z105" i="2" s="1"/>
  <c r="Z107" i="2" s="1"/>
  <c r="AA105" i="2" s="1"/>
  <c r="AA107" i="2" s="1"/>
  <c r="AB105" i="2" s="1"/>
  <c r="AB107" i="2" s="1"/>
  <c r="AC105" i="2" s="1"/>
  <c r="AC107" i="2" s="1"/>
  <c r="AD105" i="2" s="1"/>
  <c r="AD107" i="2" s="1"/>
  <c r="AE105" i="2" s="1"/>
  <c r="AE107" i="2" s="1"/>
  <c r="AF105" i="2" s="1"/>
  <c r="AF107" i="2" s="1"/>
  <c r="AG105" i="2" s="1"/>
  <c r="AG107" i="2" s="1"/>
  <c r="AH105" i="2" s="1"/>
  <c r="AH107" i="2" s="1"/>
  <c r="AI105" i="2" s="1"/>
  <c r="AI107" i="2" s="1"/>
  <c r="AJ105" i="2" s="1"/>
  <c r="AJ107" i="2" s="1"/>
  <c r="AK105" i="2" s="1"/>
  <c r="AK107" i="2" s="1"/>
  <c r="AL105" i="2" s="1"/>
  <c r="AL107" i="2" s="1"/>
  <c r="AM105" i="2" s="1"/>
  <c r="AM107" i="2" s="1"/>
  <c r="AN105" i="2" s="1"/>
  <c r="AN107" i="2" s="1"/>
  <c r="AO105" i="2" s="1"/>
  <c r="AO107" i="2" s="1"/>
  <c r="AP105" i="2" s="1"/>
  <c r="AP107" i="2" s="1"/>
  <c r="AQ105" i="2" s="1"/>
  <c r="AQ107" i="2" s="1"/>
  <c r="AR105" i="2" s="1"/>
  <c r="AR107" i="2" s="1"/>
  <c r="AS105" i="2" s="1"/>
  <c r="AS107" i="2" s="1"/>
  <c r="AT105" i="2" s="1"/>
  <c r="AT107" i="2" s="1"/>
  <c r="AU105" i="2" s="1"/>
  <c r="AU107" i="2" s="1"/>
  <c r="AV105" i="2" s="1"/>
  <c r="AV107" i="2" s="1"/>
  <c r="AW105" i="2" s="1"/>
  <c r="AW107" i="2" s="1"/>
  <c r="AX105" i="2" s="1"/>
  <c r="AX107" i="2" s="1"/>
  <c r="AY105" i="2" s="1"/>
  <c r="AY107" i="2" s="1"/>
  <c r="AZ105" i="2" s="1"/>
  <c r="AZ107" i="2" s="1"/>
  <c r="BA105" i="2" s="1"/>
  <c r="BA107" i="2" s="1"/>
  <c r="BB105" i="2" s="1"/>
  <c r="BB107" i="2" s="1"/>
  <c r="I101" i="2"/>
  <c r="I102" i="2" s="1"/>
  <c r="F7" i="13"/>
  <c r="F6" i="13"/>
  <c r="M30" i="6" l="1"/>
  <c r="L32" i="6"/>
  <c r="AM169" i="2"/>
  <c r="AN169" i="2" s="1"/>
  <c r="AO169" i="2" s="1"/>
  <c r="AP169" i="2" s="1"/>
  <c r="BL169" i="2"/>
  <c r="H14" i="14"/>
  <c r="G14" i="14"/>
  <c r="N30" i="6" l="1"/>
  <c r="M32" i="6"/>
  <c r="AQ169" i="2"/>
  <c r="AR169" i="2" s="1"/>
  <c r="AS169" i="2" s="1"/>
  <c r="AT169" i="2" s="1"/>
  <c r="I103" i="2"/>
  <c r="J101" i="2" s="1"/>
  <c r="J103" i="2" s="1"/>
  <c r="K101" i="2" s="1"/>
  <c r="K103" i="2" s="1"/>
  <c r="L101" i="2" s="1"/>
  <c r="L103" i="2" s="1"/>
  <c r="M101" i="2" s="1"/>
  <c r="M103" i="2" s="1"/>
  <c r="N101" i="2" s="1"/>
  <c r="N103" i="2" s="1"/>
  <c r="O101" i="2" s="1"/>
  <c r="O103" i="2" s="1"/>
  <c r="P101" i="2" s="1"/>
  <c r="P103" i="2" s="1"/>
  <c r="Q101" i="2" s="1"/>
  <c r="Q103" i="2" s="1"/>
  <c r="R101" i="2" s="1"/>
  <c r="R103" i="2" s="1"/>
  <c r="S101" i="2" s="1"/>
  <c r="S103" i="2" s="1"/>
  <c r="T101" i="2" s="1"/>
  <c r="T103" i="2" s="1"/>
  <c r="U101" i="2" s="1"/>
  <c r="U103" i="2" s="1"/>
  <c r="V101" i="2" s="1"/>
  <c r="V103" i="2" s="1"/>
  <c r="W101" i="2" s="1"/>
  <c r="W103" i="2" s="1"/>
  <c r="X101" i="2" s="1"/>
  <c r="X103" i="2" s="1"/>
  <c r="Y101" i="2" s="1"/>
  <c r="Y103" i="2" s="1"/>
  <c r="Z101" i="2" s="1"/>
  <c r="Z103" i="2" s="1"/>
  <c r="AA101" i="2" s="1"/>
  <c r="AA103" i="2" s="1"/>
  <c r="AB101" i="2" s="1"/>
  <c r="AB103" i="2" s="1"/>
  <c r="AC101" i="2" s="1"/>
  <c r="AC103" i="2" s="1"/>
  <c r="AD101" i="2" s="1"/>
  <c r="AD103" i="2" s="1"/>
  <c r="AE101" i="2" s="1"/>
  <c r="AE103" i="2" s="1"/>
  <c r="AF101" i="2" s="1"/>
  <c r="AF103" i="2" s="1"/>
  <c r="AG101" i="2" s="1"/>
  <c r="AG103" i="2" s="1"/>
  <c r="AH101" i="2" s="1"/>
  <c r="AH103" i="2" s="1"/>
  <c r="AI101" i="2" s="1"/>
  <c r="AI103" i="2" s="1"/>
  <c r="AJ101" i="2" s="1"/>
  <c r="AJ103" i="2" s="1"/>
  <c r="AK101" i="2" s="1"/>
  <c r="AK103" i="2" s="1"/>
  <c r="AL101" i="2" s="1"/>
  <c r="AL103" i="2" s="1"/>
  <c r="AM101" i="2" s="1"/>
  <c r="AM103" i="2" s="1"/>
  <c r="AN101" i="2" s="1"/>
  <c r="AN103" i="2" s="1"/>
  <c r="AO101" i="2" s="1"/>
  <c r="AO103" i="2" s="1"/>
  <c r="AP101" i="2" s="1"/>
  <c r="AP103" i="2" s="1"/>
  <c r="AQ101" i="2" s="1"/>
  <c r="AQ103" i="2" s="1"/>
  <c r="AR101" i="2" s="1"/>
  <c r="AR103" i="2" s="1"/>
  <c r="AS101" i="2" s="1"/>
  <c r="AS103" i="2" s="1"/>
  <c r="AT101" i="2" s="1"/>
  <c r="AT103" i="2" s="1"/>
  <c r="AU101" i="2" s="1"/>
  <c r="AU103" i="2" s="1"/>
  <c r="AV101" i="2" s="1"/>
  <c r="AV103" i="2" s="1"/>
  <c r="AW101" i="2" s="1"/>
  <c r="AW103" i="2" s="1"/>
  <c r="AX101" i="2" s="1"/>
  <c r="AX103" i="2" s="1"/>
  <c r="AY101" i="2" s="1"/>
  <c r="AY103" i="2" s="1"/>
  <c r="AZ101" i="2" s="1"/>
  <c r="AZ103" i="2" s="1"/>
  <c r="BA101" i="2" s="1"/>
  <c r="BA103" i="2" s="1"/>
  <c r="BB101" i="2" s="1"/>
  <c r="BB103" i="2" s="1"/>
  <c r="F82" i="2"/>
  <c r="H8" i="13"/>
  <c r="O30" i="6" l="1"/>
  <c r="N32" i="6"/>
  <c r="BM169" i="2"/>
  <c r="AU169" i="2"/>
  <c r="AV169" i="2" s="1"/>
  <c r="AW169" i="2" s="1"/>
  <c r="AX169" i="2" s="1"/>
  <c r="AY169" i="2" s="1"/>
  <c r="AZ169" i="2" s="1"/>
  <c r="BA169" i="2" s="1"/>
  <c r="BB169" i="2" s="1"/>
  <c r="BN169" i="2"/>
  <c r="L140" i="2"/>
  <c r="P30" i="6" l="1"/>
  <c r="O32" i="6"/>
  <c r="J4" i="12"/>
  <c r="K4" i="12" s="1"/>
  <c r="E127" i="2"/>
  <c r="G127" i="2" s="1"/>
  <c r="C23" i="2"/>
  <c r="E125" i="2" s="1"/>
  <c r="F125" i="2" s="1"/>
  <c r="G5" i="13"/>
  <c r="N85" i="2"/>
  <c r="F79" i="2"/>
  <c r="F81" i="2"/>
  <c r="F83" i="2"/>
  <c r="F84" i="2"/>
  <c r="F85" i="2"/>
  <c r="F78" i="2"/>
  <c r="H162" i="2" s="1"/>
  <c r="H15" i="13"/>
  <c r="Q30" i="6" l="1"/>
  <c r="P32" i="6"/>
  <c r="K127" i="2"/>
  <c r="H129" i="2"/>
  <c r="H131" i="2" s="1"/>
  <c r="H25" i="13"/>
  <c r="I79" i="2"/>
  <c r="J162" i="2"/>
  <c r="H127" i="2"/>
  <c r="I127" i="2" s="1"/>
  <c r="J127" i="2" s="1"/>
  <c r="L4" i="12"/>
  <c r="M4" i="12" s="1"/>
  <c r="N4" i="12" s="1"/>
  <c r="I81" i="2"/>
  <c r="I78" i="2"/>
  <c r="I82" i="2"/>
  <c r="I80" i="2"/>
  <c r="J153" i="2"/>
  <c r="BE153" i="2" s="1"/>
  <c r="I85" i="2"/>
  <c r="I74" i="2"/>
  <c r="K39" i="10"/>
  <c r="G22" i="13"/>
  <c r="G25" i="13"/>
  <c r="G165" i="2"/>
  <c r="G28" i="13" s="1"/>
  <c r="G30" i="13"/>
  <c r="AB15" i="11"/>
  <c r="AC15" i="11"/>
  <c r="AA15" i="11"/>
  <c r="R17" i="11"/>
  <c r="R16" i="11"/>
  <c r="R21" i="11" s="1"/>
  <c r="R15" i="11"/>
  <c r="Q17" i="11"/>
  <c r="Q16" i="11"/>
  <c r="Q15" i="11"/>
  <c r="Q19" i="11"/>
  <c r="Q18" i="11"/>
  <c r="R18" i="11"/>
  <c r="R19" i="11"/>
  <c r="Q20" i="11"/>
  <c r="R20" i="11"/>
  <c r="R30" i="6" l="1"/>
  <c r="Q32" i="6"/>
  <c r="J25" i="13"/>
  <c r="BE162" i="2"/>
  <c r="H130" i="2"/>
  <c r="H5" i="13"/>
  <c r="L127" i="2"/>
  <c r="I84" i="2"/>
  <c r="F35" i="13"/>
  <c r="F12" i="14" s="1"/>
  <c r="F12" i="16" s="1"/>
  <c r="I83" i="2"/>
  <c r="Q21" i="11"/>
  <c r="S30" i="6" l="1"/>
  <c r="R32" i="6"/>
  <c r="G35" i="13"/>
  <c r="G12" i="14" s="1"/>
  <c r="G12" i="16" s="1"/>
  <c r="X15" i="11"/>
  <c r="X16" i="11"/>
  <c r="X17" i="11"/>
  <c r="X18" i="11"/>
  <c r="X19" i="11"/>
  <c r="X20" i="11"/>
  <c r="K16" i="11"/>
  <c r="T16" i="11" s="1"/>
  <c r="K17" i="11"/>
  <c r="T17" i="11" s="1"/>
  <c r="K18" i="11"/>
  <c r="T18" i="11" s="1"/>
  <c r="K19" i="11"/>
  <c r="T19" i="11" s="1"/>
  <c r="K20" i="11"/>
  <c r="T20" i="11" s="1"/>
  <c r="K15" i="11"/>
  <c r="F16" i="11"/>
  <c r="F17" i="11"/>
  <c r="F18" i="11"/>
  <c r="F19" i="11"/>
  <c r="F20" i="11"/>
  <c r="F15" i="11"/>
  <c r="G41" i="10"/>
  <c r="T30" i="6" l="1"/>
  <c r="S32" i="6"/>
  <c r="Y20" i="11"/>
  <c r="Y16" i="11"/>
  <c r="W16" i="11"/>
  <c r="F21" i="11"/>
  <c r="Y19" i="11"/>
  <c r="Y18" i="11"/>
  <c r="V15" i="11"/>
  <c r="K21" i="11"/>
  <c r="T15" i="11"/>
  <c r="Y17" i="11"/>
  <c r="V17" i="11"/>
  <c r="W17" i="11" s="1"/>
  <c r="V20" i="11"/>
  <c r="W20" i="11" s="1"/>
  <c r="V16" i="11"/>
  <c r="V19" i="11"/>
  <c r="W19" i="11" s="1"/>
  <c r="V18" i="11"/>
  <c r="W18" i="11" s="1"/>
  <c r="G51" i="10"/>
  <c r="G42" i="10"/>
  <c r="G43" i="10"/>
  <c r="G44" i="10"/>
  <c r="U30" i="6" l="1"/>
  <c r="T32" i="6"/>
  <c r="Y15" i="11"/>
  <c r="T21" i="11"/>
  <c r="W15" i="11"/>
  <c r="Y21" i="11"/>
  <c r="V21" i="11"/>
  <c r="G148" i="2"/>
  <c r="G17" i="13" s="1"/>
  <c r="C84" i="2"/>
  <c r="C82" i="2"/>
  <c r="C81" i="2"/>
  <c r="C80" i="2"/>
  <c r="C79" i="2"/>
  <c r="J146" i="2" s="1"/>
  <c r="C83" i="2"/>
  <c r="C32" i="2"/>
  <c r="H16" i="13"/>
  <c r="I140" i="2"/>
  <c r="J140" i="2"/>
  <c r="K140" i="2"/>
  <c r="P140" i="2"/>
  <c r="V30" i="6" l="1"/>
  <c r="U32" i="6"/>
  <c r="T140" i="2"/>
  <c r="AZ146" i="2"/>
  <c r="AV146" i="2"/>
  <c r="AY146" i="2"/>
  <c r="BB146" i="2"/>
  <c r="AX146" i="2"/>
  <c r="BA146" i="2"/>
  <c r="AW146" i="2"/>
  <c r="AU146" i="2"/>
  <c r="I146" i="2"/>
  <c r="I14" i="13" s="1"/>
  <c r="L146" i="2"/>
  <c r="H146" i="2"/>
  <c r="N140" i="2"/>
  <c r="R140" i="2" s="1"/>
  <c r="V140" i="2" s="1"/>
  <c r="Z140" i="2" s="1"/>
  <c r="AD140" i="2" s="1"/>
  <c r="AH140" i="2" s="1"/>
  <c r="AL140" i="2" s="1"/>
  <c r="AP140" i="2" s="1"/>
  <c r="AT140" i="2" s="1"/>
  <c r="AX140" i="2" s="1"/>
  <c r="BB140" i="2" s="1"/>
  <c r="J8" i="13"/>
  <c r="M140" i="2"/>
  <c r="I8" i="13"/>
  <c r="O140" i="2"/>
  <c r="S140" i="2" s="1"/>
  <c r="W140" i="2" s="1"/>
  <c r="AA140" i="2" s="1"/>
  <c r="AE140" i="2" s="1"/>
  <c r="AI140" i="2" s="1"/>
  <c r="AM140" i="2" s="1"/>
  <c r="AQ140" i="2" s="1"/>
  <c r="AU140" i="2" s="1"/>
  <c r="AY140" i="2" s="1"/>
  <c r="K8" i="13"/>
  <c r="AI146" i="2"/>
  <c r="AA146" i="2"/>
  <c r="O146" i="2"/>
  <c r="C85" i="2"/>
  <c r="AT146" i="2"/>
  <c r="AP146" i="2"/>
  <c r="AL146" i="2"/>
  <c r="AH146" i="2"/>
  <c r="AD146" i="2"/>
  <c r="Z146" i="2"/>
  <c r="V146" i="2"/>
  <c r="R146" i="2"/>
  <c r="N146" i="2"/>
  <c r="J14" i="13"/>
  <c r="AQ146" i="2"/>
  <c r="W146" i="2"/>
  <c r="AS146" i="2"/>
  <c r="AO146" i="2"/>
  <c r="AK146" i="2"/>
  <c r="AG146" i="2"/>
  <c r="AC146" i="2"/>
  <c r="Y146" i="2"/>
  <c r="U146" i="2"/>
  <c r="Q146" i="2"/>
  <c r="M146" i="2"/>
  <c r="AM146" i="2"/>
  <c r="AE146" i="2"/>
  <c r="S146" i="2"/>
  <c r="K146" i="2"/>
  <c r="K14" i="13" s="1"/>
  <c r="AR146" i="2"/>
  <c r="AN146" i="2"/>
  <c r="AJ146" i="2"/>
  <c r="AF146" i="2"/>
  <c r="AB146" i="2"/>
  <c r="X146" i="2"/>
  <c r="T146" i="2"/>
  <c r="P146" i="2"/>
  <c r="W30" i="6" l="1"/>
  <c r="V32" i="6"/>
  <c r="BN146" i="2"/>
  <c r="BG146" i="2"/>
  <c r="BK146" i="2"/>
  <c r="BF146" i="2"/>
  <c r="BH146" i="2"/>
  <c r="BL146" i="2"/>
  <c r="BJ146" i="2"/>
  <c r="BI146" i="2"/>
  <c r="BM146" i="2"/>
  <c r="BE146" i="2"/>
  <c r="H14" i="13"/>
  <c r="Q140" i="2"/>
  <c r="X140" i="2"/>
  <c r="E145" i="2"/>
  <c r="E144" i="2"/>
  <c r="E140" i="2"/>
  <c r="C72" i="2"/>
  <c r="C69" i="2"/>
  <c r="C60" i="2"/>
  <c r="C61" i="2" s="1"/>
  <c r="G175" i="2" s="1"/>
  <c r="G194" i="2" s="1"/>
  <c r="G160" i="2"/>
  <c r="G26" i="13" s="1"/>
  <c r="H144" i="2"/>
  <c r="G136" i="2"/>
  <c r="G147" i="2"/>
  <c r="G18" i="13" s="1"/>
  <c r="G153" i="2"/>
  <c r="G15" i="13" s="1"/>
  <c r="G151" i="2"/>
  <c r="G16" i="13" s="1"/>
  <c r="G166" i="2"/>
  <c r="G27" i="13" s="1"/>
  <c r="F166" i="2"/>
  <c r="F27" i="13" s="1"/>
  <c r="F165" i="2"/>
  <c r="F163" i="2"/>
  <c r="F22" i="13" s="1"/>
  <c r="G161" i="2"/>
  <c r="G24" i="13" s="1"/>
  <c r="F170" i="2"/>
  <c r="F34" i="13" s="1"/>
  <c r="F10" i="14" s="1"/>
  <c r="F10" i="16" s="1"/>
  <c r="J20" i="16" s="1"/>
  <c r="F175" i="2"/>
  <c r="F194" i="2" s="1"/>
  <c r="F161" i="2"/>
  <c r="F24" i="13" s="1"/>
  <c r="F160" i="2"/>
  <c r="F162" i="2"/>
  <c r="F25" i="13" s="1"/>
  <c r="F153" i="2"/>
  <c r="F15" i="13" s="1"/>
  <c r="F148" i="2"/>
  <c r="F17" i="13" s="1"/>
  <c r="F147" i="2"/>
  <c r="F18" i="13" s="1"/>
  <c r="F146" i="2"/>
  <c r="F14" i="13" s="1"/>
  <c r="F152" i="2"/>
  <c r="G8" i="13"/>
  <c r="G139" i="2"/>
  <c r="G10" i="13" s="1"/>
  <c r="F3" i="13"/>
  <c r="AT151" i="2"/>
  <c r="AS151" i="2"/>
  <c r="AR151" i="2"/>
  <c r="AQ151" i="2"/>
  <c r="AP151" i="2"/>
  <c r="AO151" i="2"/>
  <c r="AN151" i="2"/>
  <c r="AM151" i="2"/>
  <c r="AL151" i="2"/>
  <c r="AK151" i="2"/>
  <c r="AJ151" i="2"/>
  <c r="AI151" i="2"/>
  <c r="AH151" i="2"/>
  <c r="AG151" i="2"/>
  <c r="AF151" i="2"/>
  <c r="AE151" i="2"/>
  <c r="AD151" i="2"/>
  <c r="AC151" i="2"/>
  <c r="AB151" i="2"/>
  <c r="AA151" i="2"/>
  <c r="Z151" i="2"/>
  <c r="Y151" i="2"/>
  <c r="X151" i="2"/>
  <c r="W151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K16" i="13" s="1"/>
  <c r="J151" i="2"/>
  <c r="G138" i="2"/>
  <c r="G9" i="13" s="1"/>
  <c r="X30" i="6" l="1"/>
  <c r="W32" i="6"/>
  <c r="I177" i="2"/>
  <c r="J16" i="13"/>
  <c r="U140" i="2"/>
  <c r="AB140" i="2"/>
  <c r="H136" i="2"/>
  <c r="I136" i="2" s="1"/>
  <c r="J136" i="2" s="1"/>
  <c r="G141" i="2"/>
  <c r="G142" i="2" s="1"/>
  <c r="H137" i="2"/>
  <c r="H6" i="13" s="1"/>
  <c r="F206" i="2"/>
  <c r="G176" i="2"/>
  <c r="J177" i="2"/>
  <c r="C4" i="14"/>
  <c r="F37" i="13"/>
  <c r="F15" i="14" s="1"/>
  <c r="F28" i="13"/>
  <c r="G206" i="2"/>
  <c r="G219" i="2" s="1"/>
  <c r="H222" i="2" s="1"/>
  <c r="H12" i="13"/>
  <c r="F26" i="13"/>
  <c r="G7" i="13"/>
  <c r="G11" i="13" s="1"/>
  <c r="G19" i="13" s="1"/>
  <c r="G152" i="2"/>
  <c r="F174" i="2"/>
  <c r="G174" i="2" s="1"/>
  <c r="C73" i="2"/>
  <c r="C74" i="2"/>
  <c r="C62" i="2"/>
  <c r="F140" i="2"/>
  <c r="F8" i="13" s="1"/>
  <c r="F139" i="2"/>
  <c r="F10" i="13" s="1"/>
  <c r="F138" i="2"/>
  <c r="F9" i="13" s="1"/>
  <c r="F129" i="2"/>
  <c r="F5" i="13" s="1"/>
  <c r="Y30" i="6" l="1"/>
  <c r="X32" i="6"/>
  <c r="H160" i="2"/>
  <c r="H174" i="2" s="1"/>
  <c r="AF140" i="2"/>
  <c r="H175" i="2"/>
  <c r="H152" i="2"/>
  <c r="I152" i="2" s="1"/>
  <c r="Y140" i="2"/>
  <c r="G209" i="2"/>
  <c r="C203" i="2" s="1"/>
  <c r="F209" i="2"/>
  <c r="G37" i="13"/>
  <c r="G15" i="14" s="1"/>
  <c r="I9" i="14" s="1"/>
  <c r="H7" i="13"/>
  <c r="F11" i="13"/>
  <c r="F19" i="13" s="1"/>
  <c r="F21" i="13" s="1"/>
  <c r="F29" i="13" s="1"/>
  <c r="F32" i="13" s="1"/>
  <c r="F36" i="13"/>
  <c r="F11" i="14" s="1"/>
  <c r="F11" i="16" s="1"/>
  <c r="C75" i="2"/>
  <c r="M127" i="2"/>
  <c r="P127" i="2"/>
  <c r="T127" i="2" s="1"/>
  <c r="X127" i="2" s="1"/>
  <c r="AB127" i="2" s="1"/>
  <c r="AF127" i="2" s="1"/>
  <c r="AJ127" i="2" s="1"/>
  <c r="AN127" i="2" s="1"/>
  <c r="AR127" i="2" s="1"/>
  <c r="AV127" i="2" s="1"/>
  <c r="AZ127" i="2" s="1"/>
  <c r="F141" i="2"/>
  <c r="F149" i="2" s="1"/>
  <c r="G149" i="2"/>
  <c r="Z30" i="6" l="1"/>
  <c r="Y32" i="6"/>
  <c r="I160" i="2"/>
  <c r="E160" i="2" s="1"/>
  <c r="H176" i="2"/>
  <c r="H194" i="2"/>
  <c r="H234" i="2"/>
  <c r="I237" i="2" s="1"/>
  <c r="H37" i="13"/>
  <c r="AC140" i="2"/>
  <c r="AJ140" i="2"/>
  <c r="H26" i="13"/>
  <c r="I222" i="2"/>
  <c r="J222" i="2"/>
  <c r="G224" i="2"/>
  <c r="K211" i="2"/>
  <c r="J211" i="2"/>
  <c r="H211" i="2"/>
  <c r="G211" i="2"/>
  <c r="I211" i="2"/>
  <c r="F211" i="2"/>
  <c r="F154" i="2"/>
  <c r="F167" i="2"/>
  <c r="F183" i="2" s="1"/>
  <c r="G154" i="2"/>
  <c r="G157" i="2" s="1"/>
  <c r="G158" i="2" s="1"/>
  <c r="G159" i="2" s="1"/>
  <c r="G167" i="2" s="1"/>
  <c r="C76" i="2"/>
  <c r="I7" i="13"/>
  <c r="I137" i="2"/>
  <c r="G36" i="13"/>
  <c r="G11" i="14" s="1"/>
  <c r="G11" i="16" s="1"/>
  <c r="H36" i="13"/>
  <c r="F33" i="13"/>
  <c r="G31" i="13"/>
  <c r="Q127" i="2"/>
  <c r="U127" i="2" s="1"/>
  <c r="Y127" i="2" s="1"/>
  <c r="AC127" i="2" s="1"/>
  <c r="AG127" i="2" s="1"/>
  <c r="AK127" i="2" s="1"/>
  <c r="AO127" i="2" s="1"/>
  <c r="AS127" i="2" s="1"/>
  <c r="AW127" i="2" s="1"/>
  <c r="BA127" i="2" s="1"/>
  <c r="C11" i="2"/>
  <c r="C9" i="2"/>
  <c r="C7" i="2"/>
  <c r="E133" i="2"/>
  <c r="K17" i="10"/>
  <c r="K8" i="10"/>
  <c r="K15" i="10" s="1"/>
  <c r="J8" i="10"/>
  <c r="E126" i="2"/>
  <c r="F29" i="10"/>
  <c r="G28" i="10" s="1"/>
  <c r="E29" i="10"/>
  <c r="D29" i="10"/>
  <c r="C29" i="10"/>
  <c r="N8" i="10"/>
  <c r="N15" i="10" s="1"/>
  <c r="N17" i="10" s="1"/>
  <c r="M8" i="10"/>
  <c r="M15" i="10" s="1"/>
  <c r="M17" i="10" s="1"/>
  <c r="M29" i="10" s="1"/>
  <c r="L8" i="10"/>
  <c r="L15" i="10" s="1"/>
  <c r="L17" i="10" s="1"/>
  <c r="I8" i="10"/>
  <c r="I15" i="10" s="1"/>
  <c r="I17" i="10" s="1"/>
  <c r="H8" i="10"/>
  <c r="H15" i="10" s="1"/>
  <c r="H17" i="10" s="1"/>
  <c r="G8" i="10"/>
  <c r="G15" i="10" s="1"/>
  <c r="G17" i="10" s="1"/>
  <c r="AA30" i="6" l="1"/>
  <c r="J15" i="10"/>
  <c r="J17" i="10" s="1"/>
  <c r="H237" i="2"/>
  <c r="J237" i="2"/>
  <c r="H239" i="2"/>
  <c r="AN140" i="2"/>
  <c r="I6" i="13"/>
  <c r="AG140" i="2"/>
  <c r="J7" i="13"/>
  <c r="J137" i="2"/>
  <c r="J6" i="13" s="1"/>
  <c r="K136" i="2"/>
  <c r="I26" i="13"/>
  <c r="E174" i="2"/>
  <c r="G183" i="2"/>
  <c r="G20" i="13"/>
  <c r="G21" i="13" s="1"/>
  <c r="G29" i="13" s="1"/>
  <c r="G32" i="13" s="1"/>
  <c r="H31" i="13" s="1"/>
  <c r="O127" i="2"/>
  <c r="S127" i="2" s="1"/>
  <c r="W127" i="2" s="1"/>
  <c r="AA127" i="2" s="1"/>
  <c r="AE127" i="2" s="1"/>
  <c r="AI127" i="2" s="1"/>
  <c r="AM127" i="2" s="1"/>
  <c r="AQ127" i="2" s="1"/>
  <c r="AU127" i="2" s="1"/>
  <c r="AY127" i="2" s="1"/>
  <c r="N127" i="2"/>
  <c r="R127" i="2" s="1"/>
  <c r="V127" i="2" s="1"/>
  <c r="Z127" i="2" s="1"/>
  <c r="AD127" i="2" s="1"/>
  <c r="AH127" i="2" s="1"/>
  <c r="C14" i="2"/>
  <c r="C33" i="2"/>
  <c r="F133" i="2"/>
  <c r="G133" i="2"/>
  <c r="H133" i="2" s="1"/>
  <c r="H138" i="2" s="1"/>
  <c r="G29" i="10"/>
  <c r="H28" i="10" s="1"/>
  <c r="H29" i="10" s="1"/>
  <c r="I28" i="10" s="1"/>
  <c r="I29" i="10" s="1"/>
  <c r="J28" i="10" s="1"/>
  <c r="J29" i="10" s="1"/>
  <c r="K28" i="10" s="1"/>
  <c r="K29" i="10" s="1"/>
  <c r="C8" i="2"/>
  <c r="M30" i="10"/>
  <c r="N28" i="10"/>
  <c r="N29" i="10" s="1"/>
  <c r="N30" i="10" s="1"/>
  <c r="AB30" i="6" l="1"/>
  <c r="AA32" i="6"/>
  <c r="AK140" i="2"/>
  <c r="AR140" i="2"/>
  <c r="K7" i="13"/>
  <c r="L136" i="2"/>
  <c r="K137" i="2"/>
  <c r="G33" i="13"/>
  <c r="AL127" i="2"/>
  <c r="AP127" i="2" s="1"/>
  <c r="AT127" i="2" s="1"/>
  <c r="AX127" i="2" s="1"/>
  <c r="BB127" i="2" s="1"/>
  <c r="L28" i="10"/>
  <c r="L29" i="10" s="1"/>
  <c r="J14" i="2"/>
  <c r="AC30" i="6" l="1"/>
  <c r="AB32" i="6"/>
  <c r="K6" i="13"/>
  <c r="AV140" i="2"/>
  <c r="AZ140" i="2" s="1"/>
  <c r="AO140" i="2"/>
  <c r="M136" i="2"/>
  <c r="L137" i="2"/>
  <c r="AD30" i="6" l="1"/>
  <c r="AS140" i="2"/>
  <c r="M137" i="2"/>
  <c r="N136" i="2"/>
  <c r="G125" i="2"/>
  <c r="H125" i="2" s="1"/>
  <c r="AE30" i="6" l="1"/>
  <c r="AD32" i="6"/>
  <c r="AW140" i="2"/>
  <c r="BA140" i="2" s="1"/>
  <c r="H126" i="2"/>
  <c r="O122" i="2"/>
  <c r="S122" i="2" s="1"/>
  <c r="W122" i="2" s="1"/>
  <c r="AA122" i="2" s="1"/>
  <c r="AE122" i="2" s="1"/>
  <c r="AI122" i="2" s="1"/>
  <c r="AM122" i="2" s="1"/>
  <c r="AQ122" i="2" s="1"/>
  <c r="AU122" i="2" s="1"/>
  <c r="AY122" i="2" s="1"/>
  <c r="P122" i="2"/>
  <c r="Q122" i="2"/>
  <c r="U122" i="2" s="1"/>
  <c r="Y122" i="2" s="1"/>
  <c r="AC122" i="2" s="1"/>
  <c r="AG122" i="2" s="1"/>
  <c r="AK122" i="2" s="1"/>
  <c r="AO122" i="2" s="1"/>
  <c r="AS122" i="2" s="1"/>
  <c r="AW122" i="2" s="1"/>
  <c r="BA122" i="2" s="1"/>
  <c r="G126" i="2"/>
  <c r="O136" i="2"/>
  <c r="N137" i="2"/>
  <c r="AF30" i="6" l="1"/>
  <c r="AE32" i="6"/>
  <c r="T122" i="2"/>
  <c r="BE122" i="2"/>
  <c r="O137" i="2"/>
  <c r="P136" i="2"/>
  <c r="AG30" i="6" l="1"/>
  <c r="X122" i="2"/>
  <c r="R122" i="2"/>
  <c r="BF122" i="2"/>
  <c r="Q136" i="2"/>
  <c r="P137" i="2"/>
  <c r="AL125" i="2"/>
  <c r="AH30" i="6" l="1"/>
  <c r="AG32" i="6"/>
  <c r="AB122" i="2"/>
  <c r="V122" i="2"/>
  <c r="BG122" i="2"/>
  <c r="Q137" i="2"/>
  <c r="R136" i="2"/>
  <c r="AI30" i="6" l="1"/>
  <c r="AH32" i="6"/>
  <c r="Z122" i="2"/>
  <c r="BH122" i="2"/>
  <c r="AF122" i="2"/>
  <c r="R137" i="2"/>
  <c r="S136" i="2"/>
  <c r="AJ30" i="6" l="1"/>
  <c r="AJ122" i="2"/>
  <c r="AD122" i="2"/>
  <c r="BI122" i="2"/>
  <c r="S137" i="2"/>
  <c r="T136" i="2"/>
  <c r="AK30" i="6" l="1"/>
  <c r="AJ32" i="6"/>
  <c r="AH122" i="2"/>
  <c r="BJ122" i="2"/>
  <c r="AN122" i="2"/>
  <c r="U136" i="2"/>
  <c r="T137" i="2"/>
  <c r="AL30" i="6" l="1"/>
  <c r="AK32" i="6"/>
  <c r="AL122" i="2"/>
  <c r="BK122" i="2"/>
  <c r="AR122" i="2"/>
  <c r="V136" i="2"/>
  <c r="U137" i="2"/>
  <c r="F48" i="2"/>
  <c r="AM30" i="6" l="1"/>
  <c r="AP122" i="2"/>
  <c r="BL122" i="2"/>
  <c r="AV122" i="2"/>
  <c r="AZ122" i="2" s="1"/>
  <c r="W136" i="2"/>
  <c r="V137" i="2"/>
  <c r="AM125" i="2"/>
  <c r="AN30" i="6" l="1"/>
  <c r="AM32" i="6"/>
  <c r="AT122" i="2"/>
  <c r="BM122" i="2"/>
  <c r="X136" i="2"/>
  <c r="W137" i="2"/>
  <c r="AN125" i="2"/>
  <c r="AO30" i="6" l="1"/>
  <c r="AN32" i="6"/>
  <c r="AX122" i="2"/>
  <c r="BB122" i="2" s="1"/>
  <c r="BN122" i="2"/>
  <c r="Y136" i="2"/>
  <c r="X137" i="2"/>
  <c r="F126" i="2"/>
  <c r="AO125" i="2"/>
  <c r="BL125" i="2" s="1"/>
  <c r="BL131" i="2" s="1"/>
  <c r="AP30" i="6" l="1"/>
  <c r="Z136" i="2"/>
  <c r="Y137" i="2"/>
  <c r="G131" i="2"/>
  <c r="I125" i="2"/>
  <c r="AP125" i="2"/>
  <c r="AQ30" i="6" l="1"/>
  <c r="AP32" i="6"/>
  <c r="Z137" i="2"/>
  <c r="AA136" i="2"/>
  <c r="J125" i="2"/>
  <c r="AQ125" i="2"/>
  <c r="I126" i="2"/>
  <c r="AR30" i="6" l="1"/>
  <c r="AQ32" i="6"/>
  <c r="AB136" i="2"/>
  <c r="AA137" i="2"/>
  <c r="K125" i="2"/>
  <c r="AR125" i="2"/>
  <c r="I123" i="2"/>
  <c r="AS30" i="6" l="1"/>
  <c r="AC136" i="2"/>
  <c r="AB137" i="2"/>
  <c r="J123" i="2"/>
  <c r="J126" i="2"/>
  <c r="L125" i="2"/>
  <c r="AS125" i="2"/>
  <c r="BM125" i="2" s="1"/>
  <c r="BM131" i="2" s="1"/>
  <c r="AT30" i="6" l="1"/>
  <c r="AS32" i="6"/>
  <c r="M125" i="2"/>
  <c r="BE125" i="2"/>
  <c r="BE131" i="2" s="1"/>
  <c r="AD136" i="2"/>
  <c r="AC137" i="2"/>
  <c r="K126" i="2"/>
  <c r="K129" i="2" s="1"/>
  <c r="K5" i="13" s="1"/>
  <c r="K123" i="2"/>
  <c r="AT125" i="2"/>
  <c r="L126" i="2"/>
  <c r="L129" i="2" s="1"/>
  <c r="AU30" i="6" l="1"/>
  <c r="AT32" i="6"/>
  <c r="AU125" i="2"/>
  <c r="AV125" i="2" s="1"/>
  <c r="AW125" i="2" s="1"/>
  <c r="AD137" i="2"/>
  <c r="AE136" i="2"/>
  <c r="L123" i="2"/>
  <c r="N125" i="2"/>
  <c r="AV30" i="6" l="1"/>
  <c r="AX125" i="2"/>
  <c r="AY125" i="2" s="1"/>
  <c r="AZ125" i="2" s="1"/>
  <c r="BA125" i="2" s="1"/>
  <c r="BB125" i="2" s="1"/>
  <c r="BN125" i="2"/>
  <c r="BN131" i="2" s="1"/>
  <c r="AF136" i="2"/>
  <c r="AE137" i="2"/>
  <c r="M126" i="2"/>
  <c r="M129" i="2" s="1"/>
  <c r="BE129" i="2" s="1"/>
  <c r="M123" i="2"/>
  <c r="O125" i="2"/>
  <c r="N123" i="2"/>
  <c r="AW30" i="6" l="1"/>
  <c r="AV32" i="6"/>
  <c r="AG136" i="2"/>
  <c r="AF137" i="2"/>
  <c r="N126" i="2"/>
  <c r="P125" i="2"/>
  <c r="AX30" i="6" l="1"/>
  <c r="AW32" i="6"/>
  <c r="AG137" i="2"/>
  <c r="AH136" i="2"/>
  <c r="O126" i="2"/>
  <c r="O123" i="2"/>
  <c r="Q125" i="2"/>
  <c r="BF125" i="2" s="1"/>
  <c r="BF131" i="2" s="1"/>
  <c r="AY30" i="6" l="1"/>
  <c r="AH137" i="2"/>
  <c r="AI136" i="2"/>
  <c r="P126" i="2"/>
  <c r="P123" i="2"/>
  <c r="R125" i="2"/>
  <c r="AZ30" i="6" l="1"/>
  <c r="AY32" i="6"/>
  <c r="AJ136" i="2"/>
  <c r="AI137" i="2"/>
  <c r="Q126" i="2"/>
  <c r="Q123" i="2"/>
  <c r="S125" i="2"/>
  <c r="BA30" i="6" l="1"/>
  <c r="AZ32" i="6"/>
  <c r="AJ137" i="2"/>
  <c r="AK136" i="2"/>
  <c r="R126" i="2"/>
  <c r="R123" i="2"/>
  <c r="T125" i="2"/>
  <c r="BB30" i="6" l="1"/>
  <c r="BG125" i="2"/>
  <c r="BG131" i="2" s="1"/>
  <c r="AL136" i="2"/>
  <c r="AK137" i="2"/>
  <c r="S126" i="2"/>
  <c r="S123" i="2"/>
  <c r="U125" i="2"/>
  <c r="BC30" i="6" l="1"/>
  <c r="BB32" i="6"/>
  <c r="AM136" i="2"/>
  <c r="AL137" i="2"/>
  <c r="T126" i="2"/>
  <c r="T123" i="2"/>
  <c r="V125" i="2"/>
  <c r="BD30" i="6" l="1"/>
  <c r="BC32" i="6"/>
  <c r="AM137" i="2"/>
  <c r="AN136" i="2"/>
  <c r="U126" i="2"/>
  <c r="U123" i="2"/>
  <c r="W125" i="2"/>
  <c r="BE30" i="6" l="1"/>
  <c r="AO136" i="2"/>
  <c r="AN137" i="2"/>
  <c r="V126" i="2"/>
  <c r="V123" i="2"/>
  <c r="X125" i="2"/>
  <c r="BF30" i="6" l="1"/>
  <c r="BE32" i="6"/>
  <c r="BH125" i="2"/>
  <c r="BH131" i="2" s="1"/>
  <c r="AP136" i="2"/>
  <c r="AO137" i="2"/>
  <c r="W126" i="2"/>
  <c r="W123" i="2"/>
  <c r="Y125" i="2"/>
  <c r="BG30" i="6" l="1"/>
  <c r="BF32" i="6"/>
  <c r="AQ136" i="2"/>
  <c r="AP137" i="2"/>
  <c r="X126" i="2"/>
  <c r="X123" i="2"/>
  <c r="Z125" i="2"/>
  <c r="BH30" i="6" l="1"/>
  <c r="AR136" i="2"/>
  <c r="AQ137" i="2"/>
  <c r="Y126" i="2"/>
  <c r="Y123" i="2"/>
  <c r="AA125" i="2"/>
  <c r="BI30" i="6" l="1"/>
  <c r="BH32" i="6"/>
  <c r="AR137" i="2"/>
  <c r="AS136" i="2"/>
  <c r="Z123" i="2"/>
  <c r="Z126" i="2"/>
  <c r="AB125" i="2"/>
  <c r="BJ30" i="6" l="1"/>
  <c r="BI32" i="6"/>
  <c r="AT136" i="2"/>
  <c r="AS137" i="2"/>
  <c r="AA126" i="2"/>
  <c r="AA123" i="2"/>
  <c r="AC125" i="2"/>
  <c r="BI125" i="2" s="1"/>
  <c r="BI131" i="2" s="1"/>
  <c r="BK30" i="6" l="1"/>
  <c r="AT137" i="2"/>
  <c r="AU136" i="2"/>
  <c r="AV136" i="2" s="1"/>
  <c r="AB126" i="2"/>
  <c r="AB123" i="2"/>
  <c r="AD125" i="2"/>
  <c r="BL30" i="6" l="1"/>
  <c r="BK32" i="6"/>
  <c r="AW136" i="2"/>
  <c r="AV137" i="2"/>
  <c r="AU137" i="2"/>
  <c r="AC126" i="2"/>
  <c r="AC123" i="2"/>
  <c r="AE125" i="2"/>
  <c r="BM30" i="6" l="1"/>
  <c r="BL32" i="6"/>
  <c r="AW137" i="2"/>
  <c r="AX136" i="2"/>
  <c r="AD126" i="2"/>
  <c r="AD123" i="2"/>
  <c r="AF125" i="2"/>
  <c r="BN30" i="6" l="1"/>
  <c r="BJ125" i="2"/>
  <c r="BJ131" i="2" s="1"/>
  <c r="AY136" i="2"/>
  <c r="AX137" i="2"/>
  <c r="AE126" i="2"/>
  <c r="AE123" i="2"/>
  <c r="AG125" i="2"/>
  <c r="I144" i="2"/>
  <c r="BO30" i="6" l="1"/>
  <c r="BN32" i="6"/>
  <c r="AZ136" i="2"/>
  <c r="AY137" i="2"/>
  <c r="I12" i="13"/>
  <c r="AF126" i="2"/>
  <c r="AF123" i="2"/>
  <c r="AH125" i="2"/>
  <c r="C97" i="6"/>
  <c r="BP30" i="6" l="1"/>
  <c r="BO32" i="6"/>
  <c r="AZ137" i="2"/>
  <c r="BA136" i="2"/>
  <c r="AG126" i="2"/>
  <c r="AG123" i="2"/>
  <c r="AI125" i="2"/>
  <c r="BQ30" i="6" l="1"/>
  <c r="BB136" i="2"/>
  <c r="BA137" i="2"/>
  <c r="AH126" i="2"/>
  <c r="AH123" i="2"/>
  <c r="AJ125" i="2"/>
  <c r="BR30" i="6" l="1"/>
  <c r="BQ32" i="6"/>
  <c r="BB137" i="2"/>
  <c r="AI126" i="2"/>
  <c r="AI123" i="2"/>
  <c r="AK125" i="2"/>
  <c r="BK125" i="2" s="1"/>
  <c r="BK131" i="2" s="1"/>
  <c r="BS30" i="6" l="1"/>
  <c r="BR32" i="6"/>
  <c r="AJ126" i="2"/>
  <c r="AJ123" i="2"/>
  <c r="BT30" i="6" l="1"/>
  <c r="AK126" i="2"/>
  <c r="AK123" i="2"/>
  <c r="AL126" i="2"/>
  <c r="AL129" i="2" s="1"/>
  <c r="BU30" i="6" l="1"/>
  <c r="BT32" i="6"/>
  <c r="AL123" i="2"/>
  <c r="BV30" i="6" l="1"/>
  <c r="BU32" i="6"/>
  <c r="AM126" i="2"/>
  <c r="AM123" i="2"/>
  <c r="BW30" i="6" l="1"/>
  <c r="AN126" i="2"/>
  <c r="AN123" i="2"/>
  <c r="BX30" i="6" l="1"/>
  <c r="BW32" i="6"/>
  <c r="AO126" i="2"/>
  <c r="AO123" i="2"/>
  <c r="BY30" i="6" l="1"/>
  <c r="BX32" i="6"/>
  <c r="AP126" i="2"/>
  <c r="AP123" i="2"/>
  <c r="BZ30" i="6" l="1"/>
  <c r="AQ126" i="2"/>
  <c r="AQ123" i="2"/>
  <c r="CA30" i="6" l="1"/>
  <c r="BZ32" i="6"/>
  <c r="AR126" i="2"/>
  <c r="AR123" i="2"/>
  <c r="CB30" i="6" l="1"/>
  <c r="CA32" i="6"/>
  <c r="AS126" i="2"/>
  <c r="AS123" i="2"/>
  <c r="CC30" i="6" l="1"/>
  <c r="AV123" i="2"/>
  <c r="AV126" i="2"/>
  <c r="AV129" i="2" s="1"/>
  <c r="AU126" i="2"/>
  <c r="AU129" i="2" s="1"/>
  <c r="AU123" i="2"/>
  <c r="AT126" i="2"/>
  <c r="AT123" i="2"/>
  <c r="CD30" i="6" l="1"/>
  <c r="CC32" i="6"/>
  <c r="AV131" i="2"/>
  <c r="AW126" i="2"/>
  <c r="AW129" i="2" s="1"/>
  <c r="AW123" i="2"/>
  <c r="AU131" i="2"/>
  <c r="C31" i="2"/>
  <c r="CE30" i="6" l="1"/>
  <c r="CD32" i="6"/>
  <c r="AW131" i="2"/>
  <c r="AX123" i="2"/>
  <c r="AX126" i="2"/>
  <c r="AX129" i="2" s="1"/>
  <c r="CF30" i="6" l="1"/>
  <c r="AX131" i="2"/>
  <c r="AY126" i="2"/>
  <c r="AY129" i="2" s="1"/>
  <c r="AY123" i="2"/>
  <c r="CG30" i="6" l="1"/>
  <c r="CF32" i="6"/>
  <c r="AZ123" i="2"/>
  <c r="AZ126" i="2"/>
  <c r="AZ129" i="2" s="1"/>
  <c r="AY130" i="2"/>
  <c r="AY131" i="2"/>
  <c r="J89" i="2"/>
  <c r="J144" i="2" s="1"/>
  <c r="K89" i="2"/>
  <c r="L89" i="2"/>
  <c r="L144" i="2" s="1"/>
  <c r="M89" i="2"/>
  <c r="CH30" i="6" l="1"/>
  <c r="CG32" i="6"/>
  <c r="M144" i="2"/>
  <c r="BA123" i="2"/>
  <c r="BA126" i="2"/>
  <c r="BA129" i="2" s="1"/>
  <c r="AZ131" i="2"/>
  <c r="AZ130" i="2"/>
  <c r="J12" i="13"/>
  <c r="CI30" i="6" l="1"/>
  <c r="BA130" i="2"/>
  <c r="BA131" i="2"/>
  <c r="BB126" i="2"/>
  <c r="BB129" i="2" s="1"/>
  <c r="BB123" i="2"/>
  <c r="I129" i="2"/>
  <c r="C15" i="2"/>
  <c r="C29" i="2" s="1"/>
  <c r="C34" i="2" s="1"/>
  <c r="CJ30" i="6" l="1"/>
  <c r="CI32" i="6"/>
  <c r="I5" i="13"/>
  <c r="BB130" i="2"/>
  <c r="BB131" i="2"/>
  <c r="E134" i="2"/>
  <c r="C16" i="2"/>
  <c r="I131" i="2"/>
  <c r="J129" i="2"/>
  <c r="F88" i="2"/>
  <c r="F121" i="2" s="1"/>
  <c r="C22" i="2"/>
  <c r="C10" i="2"/>
  <c r="CK30" i="6" l="1"/>
  <c r="CJ32" i="6"/>
  <c r="J5" i="13"/>
  <c r="AA5" i="13"/>
  <c r="AA6" i="13" s="1"/>
  <c r="G97" i="2"/>
  <c r="G198" i="2"/>
  <c r="H90" i="2"/>
  <c r="J130" i="2"/>
  <c r="F134" i="2"/>
  <c r="G134" i="2"/>
  <c r="H134" i="2" s="1"/>
  <c r="H139" i="2" s="1"/>
  <c r="G88" i="2"/>
  <c r="G121" i="2" s="1"/>
  <c r="CL30" i="6" l="1"/>
  <c r="H148" i="2"/>
  <c r="H192" i="2"/>
  <c r="C202" i="2"/>
  <c r="H97" i="2"/>
  <c r="H112" i="2" s="1"/>
  <c r="H198" i="2"/>
  <c r="J152" i="2"/>
  <c r="J131" i="2"/>
  <c r="CM30" i="6" l="1"/>
  <c r="CL32" i="6"/>
  <c r="H141" i="2"/>
  <c r="H142" i="2" s="1"/>
  <c r="H114" i="2"/>
  <c r="I111" i="2" s="1"/>
  <c r="I113" i="2" s="1"/>
  <c r="I162" i="2" s="1"/>
  <c r="H10" i="13"/>
  <c r="I134" i="2"/>
  <c r="I139" i="2" s="1"/>
  <c r="I10" i="13" s="1"/>
  <c r="K152" i="2"/>
  <c r="L152" i="2" s="1"/>
  <c r="M152" i="2" s="1"/>
  <c r="N152" i="2" s="1"/>
  <c r="O152" i="2" s="1"/>
  <c r="P152" i="2" s="1"/>
  <c r="Q152" i="2" s="1"/>
  <c r="R152" i="2" s="1"/>
  <c r="K130" i="2"/>
  <c r="CN30" i="6" l="1"/>
  <c r="CM32" i="6"/>
  <c r="H173" i="2"/>
  <c r="I116" i="2"/>
  <c r="M134" i="2"/>
  <c r="Q134" i="2" s="1"/>
  <c r="U134" i="2" s="1"/>
  <c r="Y134" i="2" s="1"/>
  <c r="AC134" i="2" s="1"/>
  <c r="AG134" i="2" s="1"/>
  <c r="AK134" i="2" s="1"/>
  <c r="AO134" i="2" s="1"/>
  <c r="AS134" i="2" s="1"/>
  <c r="AW134" i="2" s="1"/>
  <c r="J134" i="2"/>
  <c r="S152" i="2"/>
  <c r="T152" i="2" s="1"/>
  <c r="U152" i="2" s="1"/>
  <c r="V152" i="2" s="1"/>
  <c r="K131" i="2"/>
  <c r="E11" i="4"/>
  <c r="E9" i="4"/>
  <c r="E10" i="4"/>
  <c r="D10" i="4"/>
  <c r="CO30" i="6" l="1"/>
  <c r="H35" i="13"/>
  <c r="I114" i="2"/>
  <c r="AW139" i="2"/>
  <c r="BA134" i="2"/>
  <c r="BA139" i="2" s="1"/>
  <c r="K134" i="2"/>
  <c r="N134" i="2"/>
  <c r="R134" i="2" s="1"/>
  <c r="V134" i="2" s="1"/>
  <c r="Z134" i="2" s="1"/>
  <c r="AD134" i="2" s="1"/>
  <c r="AH134" i="2" s="1"/>
  <c r="AL134" i="2" s="1"/>
  <c r="AP134" i="2" s="1"/>
  <c r="AT134" i="2" s="1"/>
  <c r="AX134" i="2" s="1"/>
  <c r="W152" i="2"/>
  <c r="X152" i="2" s="1"/>
  <c r="Y152" i="2" s="1"/>
  <c r="Z152" i="2" s="1"/>
  <c r="M139" i="2"/>
  <c r="J139" i="2"/>
  <c r="L4" i="3"/>
  <c r="M5" i="3"/>
  <c r="CP30" i="6" l="1"/>
  <c r="CO32" i="6"/>
  <c r="I119" i="2"/>
  <c r="J116" i="2" s="1"/>
  <c r="J119" i="2" s="1"/>
  <c r="K116" i="2" s="1"/>
  <c r="K119" i="2" s="1"/>
  <c r="L116" i="2" s="1"/>
  <c r="L119" i="2" s="1"/>
  <c r="M116" i="2" s="1"/>
  <c r="M119" i="2" s="1"/>
  <c r="N116" i="2" s="1"/>
  <c r="N119" i="2" s="1"/>
  <c r="O116" i="2" s="1"/>
  <c r="O119" i="2" s="1"/>
  <c r="P116" i="2" s="1"/>
  <c r="P119" i="2" s="1"/>
  <c r="Q116" i="2" s="1"/>
  <c r="Q119" i="2" s="1"/>
  <c r="R116" i="2" s="1"/>
  <c r="R119" i="2" s="1"/>
  <c r="S116" i="2" s="1"/>
  <c r="S119" i="2" s="1"/>
  <c r="T116" i="2" s="1"/>
  <c r="T119" i="2" s="1"/>
  <c r="U116" i="2" s="1"/>
  <c r="U119" i="2" s="1"/>
  <c r="V116" i="2" s="1"/>
  <c r="V119" i="2" s="1"/>
  <c r="W116" i="2" s="1"/>
  <c r="W119" i="2" s="1"/>
  <c r="X116" i="2" s="1"/>
  <c r="X119" i="2" s="1"/>
  <c r="Y116" i="2" s="1"/>
  <c r="Y119" i="2" s="1"/>
  <c r="Z116" i="2" s="1"/>
  <c r="Z119" i="2" s="1"/>
  <c r="AA116" i="2" s="1"/>
  <c r="AA119" i="2" s="1"/>
  <c r="AB116" i="2" s="1"/>
  <c r="AB119" i="2" s="1"/>
  <c r="AC116" i="2" s="1"/>
  <c r="AC119" i="2" s="1"/>
  <c r="AD116" i="2" s="1"/>
  <c r="AD119" i="2" s="1"/>
  <c r="AE116" i="2" s="1"/>
  <c r="AE119" i="2" s="1"/>
  <c r="AF116" i="2" s="1"/>
  <c r="AF119" i="2" s="1"/>
  <c r="AG116" i="2" s="1"/>
  <c r="AG119" i="2" s="1"/>
  <c r="AH116" i="2" s="1"/>
  <c r="AH119" i="2" s="1"/>
  <c r="AI116" i="2" s="1"/>
  <c r="AI119" i="2" s="1"/>
  <c r="AJ116" i="2" s="1"/>
  <c r="AJ119" i="2" s="1"/>
  <c r="AK116" i="2" s="1"/>
  <c r="AK119" i="2" s="1"/>
  <c r="AL116" i="2" s="1"/>
  <c r="AL119" i="2" s="1"/>
  <c r="AM116" i="2" s="1"/>
  <c r="AM119" i="2" s="1"/>
  <c r="AN116" i="2" s="1"/>
  <c r="AN119" i="2" s="1"/>
  <c r="AO116" i="2" s="1"/>
  <c r="AO119" i="2" s="1"/>
  <c r="AP116" i="2" s="1"/>
  <c r="AP119" i="2" s="1"/>
  <c r="AQ116" i="2" s="1"/>
  <c r="AQ119" i="2" s="1"/>
  <c r="AR116" i="2" s="1"/>
  <c r="AR119" i="2" s="1"/>
  <c r="AS116" i="2" s="1"/>
  <c r="AS119" i="2" s="1"/>
  <c r="AT116" i="2" s="1"/>
  <c r="AT119" i="2" s="1"/>
  <c r="AU116" i="2" s="1"/>
  <c r="AU119" i="2" s="1"/>
  <c r="AV116" i="2" s="1"/>
  <c r="AV119" i="2" s="1"/>
  <c r="AW116" i="2" s="1"/>
  <c r="AW119" i="2" s="1"/>
  <c r="AX116" i="2" s="1"/>
  <c r="AX119" i="2" s="1"/>
  <c r="AY116" i="2" s="1"/>
  <c r="AY119" i="2" s="1"/>
  <c r="AZ116" i="2" s="1"/>
  <c r="AZ119" i="2" s="1"/>
  <c r="BA116" i="2" s="1"/>
  <c r="BA119" i="2" s="1"/>
  <c r="BB116" i="2" s="1"/>
  <c r="BB119" i="2" s="1"/>
  <c r="J10" i="13"/>
  <c r="J111" i="2"/>
  <c r="J114" i="2" s="1"/>
  <c r="K111" i="2" s="1"/>
  <c r="K114" i="2" s="1"/>
  <c r="L111" i="2" s="1"/>
  <c r="L114" i="2" s="1"/>
  <c r="M111" i="2" s="1"/>
  <c r="M114" i="2" s="1"/>
  <c r="N111" i="2" s="1"/>
  <c r="N114" i="2" s="1"/>
  <c r="O111" i="2" s="1"/>
  <c r="O114" i="2" s="1"/>
  <c r="P111" i="2" s="1"/>
  <c r="P114" i="2" s="1"/>
  <c r="Q111" i="2" s="1"/>
  <c r="Q114" i="2" s="1"/>
  <c r="R111" i="2" s="1"/>
  <c r="R114" i="2" s="1"/>
  <c r="S111" i="2" s="1"/>
  <c r="S114" i="2" s="1"/>
  <c r="T111" i="2" s="1"/>
  <c r="T114" i="2" s="1"/>
  <c r="U111" i="2" s="1"/>
  <c r="U114" i="2" s="1"/>
  <c r="V111" i="2" s="1"/>
  <c r="V114" i="2" s="1"/>
  <c r="W111" i="2" s="1"/>
  <c r="W114" i="2" s="1"/>
  <c r="X111" i="2" s="1"/>
  <c r="X114" i="2" s="1"/>
  <c r="Y111" i="2" s="1"/>
  <c r="Y114" i="2" s="1"/>
  <c r="Z111" i="2" s="1"/>
  <c r="Z114" i="2" s="1"/>
  <c r="AA111" i="2" s="1"/>
  <c r="AA114" i="2" s="1"/>
  <c r="AB111" i="2" s="1"/>
  <c r="AB114" i="2" s="1"/>
  <c r="AC111" i="2" s="1"/>
  <c r="AC114" i="2" s="1"/>
  <c r="AD111" i="2" s="1"/>
  <c r="AD114" i="2" s="1"/>
  <c r="AE111" i="2" s="1"/>
  <c r="AE114" i="2" s="1"/>
  <c r="AF111" i="2" s="1"/>
  <c r="AF114" i="2" s="1"/>
  <c r="AG111" i="2" s="1"/>
  <c r="AG114" i="2" s="1"/>
  <c r="AH111" i="2" s="1"/>
  <c r="AH114" i="2" s="1"/>
  <c r="AI111" i="2" s="1"/>
  <c r="AI114" i="2" s="1"/>
  <c r="AJ111" i="2" s="1"/>
  <c r="AJ114" i="2" s="1"/>
  <c r="AK111" i="2" s="1"/>
  <c r="AK114" i="2" s="1"/>
  <c r="AL111" i="2" s="1"/>
  <c r="AL114" i="2" s="1"/>
  <c r="AM111" i="2" s="1"/>
  <c r="AM114" i="2" s="1"/>
  <c r="AN111" i="2" s="1"/>
  <c r="AN114" i="2" s="1"/>
  <c r="AO111" i="2" s="1"/>
  <c r="AO114" i="2" s="1"/>
  <c r="AP111" i="2" s="1"/>
  <c r="AP114" i="2" s="1"/>
  <c r="AQ111" i="2" s="1"/>
  <c r="AQ114" i="2" s="1"/>
  <c r="AR111" i="2" s="1"/>
  <c r="AR114" i="2" s="1"/>
  <c r="AS111" i="2" s="1"/>
  <c r="AS114" i="2" s="1"/>
  <c r="AT111" i="2" s="1"/>
  <c r="AT114" i="2" s="1"/>
  <c r="AU111" i="2" s="1"/>
  <c r="AU114" i="2" s="1"/>
  <c r="AV111" i="2" s="1"/>
  <c r="AV114" i="2" s="1"/>
  <c r="AW111" i="2" s="1"/>
  <c r="AW114" i="2" s="1"/>
  <c r="AX111" i="2" s="1"/>
  <c r="AX114" i="2" s="1"/>
  <c r="AY111" i="2" s="1"/>
  <c r="AY114" i="2" s="1"/>
  <c r="AZ111" i="2" s="1"/>
  <c r="AZ114" i="2" s="1"/>
  <c r="BA111" i="2" s="1"/>
  <c r="BA114" i="2" s="1"/>
  <c r="BB111" i="2" s="1"/>
  <c r="BB114" i="2" s="1"/>
  <c r="AX139" i="2"/>
  <c r="BB134" i="2"/>
  <c r="BB139" i="2" s="1"/>
  <c r="L134" i="2"/>
  <c r="O134" i="2"/>
  <c r="K139" i="2"/>
  <c r="K10" i="13" s="1"/>
  <c r="AA152" i="2"/>
  <c r="AB152" i="2" s="1"/>
  <c r="AC152" i="2" s="1"/>
  <c r="AD152" i="2" s="1"/>
  <c r="N139" i="2"/>
  <c r="Q139" i="2"/>
  <c r="CQ30" i="6" l="1"/>
  <c r="CP32" i="6"/>
  <c r="I173" i="2"/>
  <c r="I35" i="13" s="1"/>
  <c r="S134" i="2"/>
  <c r="O139" i="2"/>
  <c r="P134" i="2"/>
  <c r="L139" i="2"/>
  <c r="BE139" i="2" s="1"/>
  <c r="AE152" i="2"/>
  <c r="AF152" i="2" s="1"/>
  <c r="AG152" i="2" s="1"/>
  <c r="AH152" i="2" s="1"/>
  <c r="U139" i="2"/>
  <c r="R139" i="2"/>
  <c r="F182" i="2"/>
  <c r="F184" i="2" s="1"/>
  <c r="CR30" i="6" l="1"/>
  <c r="F187" i="2"/>
  <c r="F41" i="13"/>
  <c r="T134" i="2"/>
  <c r="P139" i="2"/>
  <c r="W134" i="2"/>
  <c r="S139" i="2"/>
  <c r="AI152" i="2"/>
  <c r="AJ152" i="2" s="1"/>
  <c r="AK152" i="2" s="1"/>
  <c r="AL152" i="2" s="1"/>
  <c r="V139" i="2"/>
  <c r="Y139" i="2"/>
  <c r="CS30" i="6" l="1"/>
  <c r="CR32" i="6"/>
  <c r="AA134" i="2"/>
  <c r="W139" i="2"/>
  <c r="X134" i="2"/>
  <c r="T139" i="2"/>
  <c r="BG139" i="2" s="1"/>
  <c r="AM152" i="2"/>
  <c r="AN152" i="2" s="1"/>
  <c r="AO152" i="2" s="1"/>
  <c r="AP152" i="2" s="1"/>
  <c r="AC139" i="2"/>
  <c r="Z139" i="2"/>
  <c r="L10" i="3"/>
  <c r="CT30" i="6" l="1"/>
  <c r="CS32" i="6"/>
  <c r="AB134" i="2"/>
  <c r="X139" i="2"/>
  <c r="BH139" i="2" s="1"/>
  <c r="AE134" i="2"/>
  <c r="AA139" i="2"/>
  <c r="AQ152" i="2"/>
  <c r="AR152" i="2" s="1"/>
  <c r="AS152" i="2" s="1"/>
  <c r="AT152" i="2" s="1"/>
  <c r="AU152" i="2" s="1"/>
  <c r="AV152" i="2" s="1"/>
  <c r="AW152" i="2" s="1"/>
  <c r="AX152" i="2" s="1"/>
  <c r="AY152" i="2" s="1"/>
  <c r="AZ152" i="2" s="1"/>
  <c r="BA152" i="2" s="1"/>
  <c r="BB152" i="2" s="1"/>
  <c r="AD139" i="2"/>
  <c r="AG139" i="2"/>
  <c r="D2" i="4"/>
  <c r="F4" i="4" s="1"/>
  <c r="G4" i="4" s="1"/>
  <c r="CU30" i="6" l="1"/>
  <c r="AI134" i="2"/>
  <c r="AE139" i="2"/>
  <c r="AF134" i="2"/>
  <c r="AB139" i="2"/>
  <c r="BI139" i="2" s="1"/>
  <c r="AH139" i="2"/>
  <c r="AK139" i="2"/>
  <c r="H4" i="4"/>
  <c r="CV30" i="6" l="1"/>
  <c r="CU32" i="6"/>
  <c r="BJ139" i="2"/>
  <c r="AJ134" i="2"/>
  <c r="AF139" i="2"/>
  <c r="AM134" i="2"/>
  <c r="AI139" i="2"/>
  <c r="AS139" i="2"/>
  <c r="AO139" i="2"/>
  <c r="AL139" i="2"/>
  <c r="I4" i="4"/>
  <c r="CW30" i="6" l="1"/>
  <c r="CV32" i="6"/>
  <c r="AQ134" i="2"/>
  <c r="AM139" i="2"/>
  <c r="AN134" i="2"/>
  <c r="AJ139" i="2"/>
  <c r="BK139" i="2" s="1"/>
  <c r="O13" i="2"/>
  <c r="O10" i="2"/>
  <c r="O8" i="2"/>
  <c r="AP139" i="2"/>
  <c r="J4" i="4"/>
  <c r="CX30" i="6" l="1"/>
  <c r="AQ139" i="2"/>
  <c r="AU134" i="2"/>
  <c r="AR134" i="2"/>
  <c r="AN139" i="2"/>
  <c r="BL139" i="2" s="1"/>
  <c r="AT139" i="2"/>
  <c r="L130" i="2"/>
  <c r="K4" i="4"/>
  <c r="CY30" i="6" l="1"/>
  <c r="CX32" i="6"/>
  <c r="AR139" i="2"/>
  <c r="BM139" i="2" s="1"/>
  <c r="AV134" i="2"/>
  <c r="AU139" i="2"/>
  <c r="AY134" i="2"/>
  <c r="AY139" i="2" s="1"/>
  <c r="H9" i="13"/>
  <c r="H11" i="13" s="1"/>
  <c r="I133" i="2"/>
  <c r="M133" i="2" s="1"/>
  <c r="L131" i="2"/>
  <c r="L4" i="4"/>
  <c r="P89" i="2"/>
  <c r="P144" i="2" s="1"/>
  <c r="O89" i="2"/>
  <c r="N89" i="2"/>
  <c r="N144" i="2" s="1"/>
  <c r="Q89" i="2"/>
  <c r="Q144" i="2" s="1"/>
  <c r="CZ30" i="6" l="1"/>
  <c r="CY32" i="6"/>
  <c r="AZ134" i="2"/>
  <c r="AZ139" i="2" s="1"/>
  <c r="AV139" i="2"/>
  <c r="BN139" i="2" s="1"/>
  <c r="I138" i="2"/>
  <c r="J133" i="2"/>
  <c r="Q133" i="2"/>
  <c r="U133" i="2" s="1"/>
  <c r="Y133" i="2" s="1"/>
  <c r="AC133" i="2" s="1"/>
  <c r="AG133" i="2" s="1"/>
  <c r="AK133" i="2" s="1"/>
  <c r="AO133" i="2" s="1"/>
  <c r="AS133" i="2" s="1"/>
  <c r="AW133" i="2" s="1"/>
  <c r="M4" i="4"/>
  <c r="H17" i="13"/>
  <c r="T89" i="2"/>
  <c r="T144" i="2" s="1"/>
  <c r="S89" i="2"/>
  <c r="U89" i="2"/>
  <c r="U144" i="2" s="1"/>
  <c r="R89" i="2"/>
  <c r="R144" i="2" s="1"/>
  <c r="DA30" i="6" l="1"/>
  <c r="AW138" i="2"/>
  <c r="AW141" i="2" s="1"/>
  <c r="BA133" i="2"/>
  <c r="BA138" i="2" s="1"/>
  <c r="BA141" i="2" s="1"/>
  <c r="BA142" i="2" s="1"/>
  <c r="I141" i="2"/>
  <c r="I9" i="13"/>
  <c r="I11" i="13" s="1"/>
  <c r="K133" i="2"/>
  <c r="N133" i="2"/>
  <c r="R133" i="2" s="1"/>
  <c r="V133" i="2" s="1"/>
  <c r="Z133" i="2" s="1"/>
  <c r="AD133" i="2" s="1"/>
  <c r="AH133" i="2" s="1"/>
  <c r="AL133" i="2" s="1"/>
  <c r="AP133" i="2" s="1"/>
  <c r="AT133" i="2" s="1"/>
  <c r="AX133" i="2" s="1"/>
  <c r="N129" i="2"/>
  <c r="M130" i="2"/>
  <c r="M131" i="2"/>
  <c r="H88" i="2"/>
  <c r="H121" i="2" s="1"/>
  <c r="M138" i="2"/>
  <c r="M141" i="2" s="1"/>
  <c r="M142" i="2" s="1"/>
  <c r="J138" i="2"/>
  <c r="N4" i="4"/>
  <c r="I90" i="2"/>
  <c r="I192" i="2" s="1"/>
  <c r="V89" i="2"/>
  <c r="V144" i="2" s="1"/>
  <c r="X89" i="2"/>
  <c r="X144" i="2" s="1"/>
  <c r="Y89" i="2"/>
  <c r="Y144" i="2" s="1"/>
  <c r="W89" i="2"/>
  <c r="DB30" i="6" l="1"/>
  <c r="DA32" i="6"/>
  <c r="AX138" i="2"/>
  <c r="AX141" i="2" s="1"/>
  <c r="BB133" i="2"/>
  <c r="BB138" i="2" s="1"/>
  <c r="BB141" i="2" s="1"/>
  <c r="BB142" i="2" s="1"/>
  <c r="AW142" i="2"/>
  <c r="I97" i="2"/>
  <c r="I198" i="2"/>
  <c r="I228" i="2" s="1"/>
  <c r="I148" i="2"/>
  <c r="J141" i="2"/>
  <c r="J9" i="13"/>
  <c r="J11" i="13" s="1"/>
  <c r="L133" i="2"/>
  <c r="O133" i="2"/>
  <c r="K138" i="2"/>
  <c r="N131" i="2"/>
  <c r="N130" i="2"/>
  <c r="I88" i="2"/>
  <c r="I121" i="2" s="1"/>
  <c r="O129" i="2"/>
  <c r="N138" i="2"/>
  <c r="Q138" i="2"/>
  <c r="O4" i="4"/>
  <c r="J90" i="2"/>
  <c r="J192" i="2" s="1"/>
  <c r="Z89" i="2"/>
  <c r="Z144" i="2" s="1"/>
  <c r="AA89" i="2"/>
  <c r="AE89" i="2" s="1"/>
  <c r="AC89" i="2"/>
  <c r="AB89" i="2"/>
  <c r="DC30" i="6" l="1"/>
  <c r="DB32" i="6"/>
  <c r="N141" i="2"/>
  <c r="E33" i="6"/>
  <c r="I17" i="13"/>
  <c r="F169" i="2"/>
  <c r="AX142" i="2"/>
  <c r="J97" i="2"/>
  <c r="J198" i="2"/>
  <c r="J228" i="2" s="1"/>
  <c r="K141" i="2"/>
  <c r="K9" i="13"/>
  <c r="K11" i="13" s="1"/>
  <c r="AA7" i="13" s="1"/>
  <c r="D96" i="6"/>
  <c r="J148" i="2"/>
  <c r="S133" i="2"/>
  <c r="O138" i="2"/>
  <c r="O141" i="2" s="1"/>
  <c r="P133" i="2"/>
  <c r="L138" i="2"/>
  <c r="BE138" i="2" s="1"/>
  <c r="O130" i="2"/>
  <c r="P129" i="2"/>
  <c r="O131" i="2"/>
  <c r="AI89" i="2"/>
  <c r="AB144" i="2"/>
  <c r="AF89" i="2"/>
  <c r="AC144" i="2"/>
  <c r="AG89" i="2"/>
  <c r="J88" i="2"/>
  <c r="U138" i="2"/>
  <c r="R138" i="2"/>
  <c r="K90" i="2"/>
  <c r="K192" i="2" s="1"/>
  <c r="AD89" i="2"/>
  <c r="DD30" i="6" l="1"/>
  <c r="J17" i="13"/>
  <c r="L141" i="2"/>
  <c r="J170" i="2" s="1"/>
  <c r="K97" i="2"/>
  <c r="K198" i="2"/>
  <c r="K228" i="2" s="1"/>
  <c r="F39" i="13"/>
  <c r="K148" i="2"/>
  <c r="T133" i="2"/>
  <c r="P138" i="2"/>
  <c r="W133" i="2"/>
  <c r="S138" i="2"/>
  <c r="P130" i="2"/>
  <c r="P131" i="2"/>
  <c r="AJ89" i="2"/>
  <c r="AF144" i="2"/>
  <c r="AD144" i="2"/>
  <c r="AH89" i="2"/>
  <c r="AK89" i="2"/>
  <c r="AG144" i="2"/>
  <c r="AM89" i="2"/>
  <c r="K88" i="2"/>
  <c r="V138" i="2"/>
  <c r="Y138" i="2"/>
  <c r="L90" i="2"/>
  <c r="L192" i="2" s="1"/>
  <c r="J121" i="2"/>
  <c r="DE30" i="6" l="1"/>
  <c r="DD32" i="6"/>
  <c r="K145" i="2"/>
  <c r="BE141" i="2"/>
  <c r="K17" i="13"/>
  <c r="K170" i="2"/>
  <c r="L145" i="2" s="1"/>
  <c r="P141" i="2"/>
  <c r="L198" i="2"/>
  <c r="L228" i="2" s="1"/>
  <c r="L148" i="2"/>
  <c r="L97" i="2"/>
  <c r="Q129" i="2"/>
  <c r="AA133" i="2"/>
  <c r="W138" i="2"/>
  <c r="X133" i="2"/>
  <c r="T138" i="2"/>
  <c r="BG138" i="2" s="1"/>
  <c r="L88" i="2"/>
  <c r="AL89" i="2"/>
  <c r="AH144" i="2"/>
  <c r="AJ144" i="2"/>
  <c r="AN89" i="2"/>
  <c r="AK144" i="2"/>
  <c r="AO89" i="2"/>
  <c r="AC138" i="2"/>
  <c r="AQ89" i="2"/>
  <c r="AU89" i="2" s="1"/>
  <c r="AY89" i="2" s="1"/>
  <c r="Z138" i="2"/>
  <c r="K121" i="2"/>
  <c r="M90" i="2"/>
  <c r="M192" i="2" s="1"/>
  <c r="DF30" i="6" l="1"/>
  <c r="DE32" i="6"/>
  <c r="L170" i="2"/>
  <c r="L171" i="2" s="1"/>
  <c r="K171" i="2"/>
  <c r="Q141" i="2"/>
  <c r="BF141" i="2" s="1"/>
  <c r="M97" i="2"/>
  <c r="M198" i="2"/>
  <c r="M228" i="2" s="1"/>
  <c r="Q130" i="2"/>
  <c r="Q131" i="2"/>
  <c r="R129" i="2"/>
  <c r="M148" i="2"/>
  <c r="BE148" i="2" s="1"/>
  <c r="AB133" i="2"/>
  <c r="X138" i="2"/>
  <c r="BH138" i="2" s="1"/>
  <c r="AE133" i="2"/>
  <c r="AA138" i="2"/>
  <c r="AG138" i="2"/>
  <c r="AO144" i="2"/>
  <c r="AS89" i="2"/>
  <c r="AW89" i="2" s="1"/>
  <c r="AN144" i="2"/>
  <c r="AR89" i="2"/>
  <c r="AV89" i="2" s="1"/>
  <c r="AD138" i="2"/>
  <c r="AL144" i="2"/>
  <c r="AP89" i="2"/>
  <c r="M88" i="2"/>
  <c r="M121" i="2" s="1"/>
  <c r="L121" i="2"/>
  <c r="N90" i="2"/>
  <c r="N192" i="2" s="1"/>
  <c r="DG30" i="6" l="1"/>
  <c r="R130" i="2"/>
  <c r="AW144" i="2"/>
  <c r="BA89" i="2"/>
  <c r="BA144" i="2" s="1"/>
  <c r="AZ89" i="2"/>
  <c r="AZ144" i="2" s="1"/>
  <c r="AV144" i="2"/>
  <c r="N97" i="2"/>
  <c r="N198" i="2"/>
  <c r="N228" i="2" s="1"/>
  <c r="S129" i="2"/>
  <c r="T129" i="2" s="1"/>
  <c r="R141" i="2"/>
  <c r="R131" i="2"/>
  <c r="N148" i="2"/>
  <c r="AI133" i="2"/>
  <c r="AE138" i="2"/>
  <c r="AF133" i="2"/>
  <c r="AB138" i="2"/>
  <c r="BI138" i="2" s="1"/>
  <c r="AR144" i="2"/>
  <c r="AK138" i="2"/>
  <c r="AS144" i="2"/>
  <c r="AP144" i="2"/>
  <c r="AT89" i="2"/>
  <c r="AX89" i="2" s="1"/>
  <c r="AH138" i="2"/>
  <c r="N88" i="2"/>
  <c r="O90" i="2"/>
  <c r="O192" i="2" s="1"/>
  <c r="DH30" i="6" l="1"/>
  <c r="DG32" i="6"/>
  <c r="AX144" i="2"/>
  <c r="BB89" i="2"/>
  <c r="BB144" i="2" s="1"/>
  <c r="O97" i="2"/>
  <c r="O198" i="2"/>
  <c r="O228" i="2" s="1"/>
  <c r="S141" i="2"/>
  <c r="S130" i="2"/>
  <c r="S131" i="2"/>
  <c r="O148" i="2"/>
  <c r="AJ133" i="2"/>
  <c r="AF138" i="2"/>
  <c r="BJ138" i="2" s="1"/>
  <c r="AM133" i="2"/>
  <c r="AI138" i="2"/>
  <c r="T141" i="2"/>
  <c r="T131" i="2"/>
  <c r="T130" i="2"/>
  <c r="AL138" i="2"/>
  <c r="AT144" i="2"/>
  <c r="AS138" i="2"/>
  <c r="AO138" i="2"/>
  <c r="O88" i="2"/>
  <c r="O121" i="2" s="1"/>
  <c r="N121" i="2"/>
  <c r="P90" i="2"/>
  <c r="P192" i="2" s="1"/>
  <c r="DI30" i="6" l="1"/>
  <c r="DH32" i="6"/>
  <c r="P97" i="2"/>
  <c r="P198" i="2"/>
  <c r="P228" i="2" s="1"/>
  <c r="U129" i="2"/>
  <c r="BG129" i="2" s="1"/>
  <c r="P148" i="2"/>
  <c r="AQ133" i="2"/>
  <c r="AM138" i="2"/>
  <c r="AN133" i="2"/>
  <c r="AJ138" i="2"/>
  <c r="BK138" i="2" s="1"/>
  <c r="AP138" i="2"/>
  <c r="Q90" i="2"/>
  <c r="Q192" i="2" s="1"/>
  <c r="P88" i="2"/>
  <c r="DJ30" i="6" l="1"/>
  <c r="Q97" i="2"/>
  <c r="Q198" i="2"/>
  <c r="Q228" i="2" s="1"/>
  <c r="AQ138" i="2"/>
  <c r="AU133" i="2"/>
  <c r="V129" i="2"/>
  <c r="U131" i="2"/>
  <c r="U141" i="2"/>
  <c r="BG141" i="2" s="1"/>
  <c r="U130" i="2"/>
  <c r="Q148" i="2"/>
  <c r="W129" i="2"/>
  <c r="AR133" i="2"/>
  <c r="AN138" i="2"/>
  <c r="BL138" i="2" s="1"/>
  <c r="AT138" i="2"/>
  <c r="Q88" i="2"/>
  <c r="R90" i="2"/>
  <c r="R192" i="2" s="1"/>
  <c r="P121" i="2"/>
  <c r="DK30" i="6" l="1"/>
  <c r="DJ32" i="6"/>
  <c r="V141" i="2"/>
  <c r="AR138" i="2"/>
  <c r="AV133" i="2"/>
  <c r="AU138" i="2"/>
  <c r="AU141" i="2" s="1"/>
  <c r="AY133" i="2"/>
  <c r="AY138" i="2" s="1"/>
  <c r="AY141" i="2" s="1"/>
  <c r="R97" i="2"/>
  <c r="R198" i="2"/>
  <c r="R228" i="2" s="1"/>
  <c r="V130" i="2"/>
  <c r="V131" i="2"/>
  <c r="R148" i="2"/>
  <c r="W130" i="2"/>
  <c r="W141" i="2"/>
  <c r="W131" i="2"/>
  <c r="S90" i="2"/>
  <c r="S192" i="2" s="1"/>
  <c r="Q121" i="2"/>
  <c r="R88" i="2"/>
  <c r="DL30" i="6" l="1"/>
  <c r="DK32" i="6"/>
  <c r="AY142" i="2"/>
  <c r="AU142" i="2"/>
  <c r="AV138" i="2"/>
  <c r="AV141" i="2" s="1"/>
  <c r="AT170" i="2" s="1"/>
  <c r="AZ133" i="2"/>
  <c r="AZ138" i="2" s="1"/>
  <c r="AZ141" i="2" s="1"/>
  <c r="AZ142" i="2" s="1"/>
  <c r="S97" i="2"/>
  <c r="S198" i="2"/>
  <c r="S228" i="2" s="1"/>
  <c r="X129" i="2"/>
  <c r="S148" i="2"/>
  <c r="Y129" i="2"/>
  <c r="T90" i="2"/>
  <c r="T192" i="2" s="1"/>
  <c r="S88" i="2"/>
  <c r="R121" i="2"/>
  <c r="DM30" i="6" l="1"/>
  <c r="BH129" i="2"/>
  <c r="BH130" i="2" s="1"/>
  <c r="AW170" i="2"/>
  <c r="X141" i="2"/>
  <c r="AU170" i="2"/>
  <c r="AV145" i="2" s="1"/>
  <c r="AV142" i="2"/>
  <c r="AV170" i="2"/>
  <c r="AX170" i="2"/>
  <c r="T97" i="2"/>
  <c r="T198" i="2"/>
  <c r="T228" i="2" s="1"/>
  <c r="X130" i="2"/>
  <c r="T148" i="2"/>
  <c r="X131" i="2"/>
  <c r="S121" i="2"/>
  <c r="T88" i="2"/>
  <c r="U90" i="2"/>
  <c r="U192" i="2" s="1"/>
  <c r="DN30" i="6" l="1"/>
  <c r="DM32" i="6"/>
  <c r="BN170" i="2"/>
  <c r="AW171" i="2"/>
  <c r="AU171" i="2"/>
  <c r="AX171" i="2"/>
  <c r="AY170" i="2" s="1"/>
  <c r="AY145" i="2"/>
  <c r="AY144" i="2"/>
  <c r="AW145" i="2"/>
  <c r="AV171" i="2"/>
  <c r="AX145" i="2"/>
  <c r="U97" i="2"/>
  <c r="U198" i="2"/>
  <c r="U228" i="2" s="1"/>
  <c r="U148" i="2"/>
  <c r="Y141" i="2"/>
  <c r="BH141" i="2" s="1"/>
  <c r="U88" i="2"/>
  <c r="T121" i="2"/>
  <c r="V90" i="2"/>
  <c r="V192" i="2" s="1"/>
  <c r="DO30" i="6" l="1"/>
  <c r="DN32" i="6"/>
  <c r="AZ145" i="2"/>
  <c r="AY171" i="2"/>
  <c r="AZ170" i="2" s="1"/>
  <c r="V97" i="2"/>
  <c r="V198" i="2"/>
  <c r="V228" i="2" s="1"/>
  <c r="V148" i="2"/>
  <c r="Z129" i="2"/>
  <c r="Y130" i="2"/>
  <c r="Y131" i="2"/>
  <c r="W90" i="2"/>
  <c r="W192" i="2" s="1"/>
  <c r="U121" i="2"/>
  <c r="V88" i="2"/>
  <c r="DP30" i="6" l="1"/>
  <c r="AZ171" i="2"/>
  <c r="BA170" i="2" s="1"/>
  <c r="BA145" i="2"/>
  <c r="W97" i="2"/>
  <c r="W198" i="2"/>
  <c r="W228" i="2" s="1"/>
  <c r="W148" i="2"/>
  <c r="W88" i="2"/>
  <c r="V121" i="2"/>
  <c r="X90" i="2"/>
  <c r="X192" i="2" s="1"/>
  <c r="DQ30" i="6" l="1"/>
  <c r="DP32" i="6"/>
  <c r="BB145" i="2"/>
  <c r="BA171" i="2"/>
  <c r="BB170" i="2" s="1"/>
  <c r="BB171" i="2" s="1"/>
  <c r="X97" i="2"/>
  <c r="X198" i="2"/>
  <c r="X228" i="2" s="1"/>
  <c r="X148" i="2"/>
  <c r="Z130" i="2"/>
  <c r="Z141" i="2"/>
  <c r="Z131" i="2"/>
  <c r="AA129" i="2"/>
  <c r="W121" i="2"/>
  <c r="Y90" i="2"/>
  <c r="Y192" i="2" s="1"/>
  <c r="X88" i="2"/>
  <c r="DR30" i="6" l="1"/>
  <c r="DQ32" i="6"/>
  <c r="Y97" i="2"/>
  <c r="Y198" i="2"/>
  <c r="Y228" i="2" s="1"/>
  <c r="Y148" i="2"/>
  <c r="X121" i="2"/>
  <c r="Y88" i="2"/>
  <c r="Z90" i="2"/>
  <c r="Z192" i="2" s="1"/>
  <c r="Z97" i="2" l="1"/>
  <c r="Z198" i="2"/>
  <c r="Z228" i="2" s="1"/>
  <c r="Z148" i="2"/>
  <c r="AA130" i="2"/>
  <c r="AA141" i="2"/>
  <c r="AA131" i="2"/>
  <c r="AB129" i="2"/>
  <c r="Y121" i="2"/>
  <c r="AA90" i="2"/>
  <c r="AA192" i="2" s="1"/>
  <c r="Z88" i="2"/>
  <c r="AA97" i="2" l="1"/>
  <c r="AA198" i="2"/>
  <c r="AA228" i="2" s="1"/>
  <c r="AA148" i="2"/>
  <c r="Z121" i="2"/>
  <c r="AA88" i="2"/>
  <c r="AB90" i="2"/>
  <c r="AB192" i="2" s="1"/>
  <c r="AB97" i="2" l="1"/>
  <c r="AB198" i="2"/>
  <c r="AB228" i="2" s="1"/>
  <c r="AB148" i="2"/>
  <c r="AB130" i="2"/>
  <c r="AB141" i="2"/>
  <c r="AB131" i="2"/>
  <c r="AC129" i="2"/>
  <c r="AA121" i="2"/>
  <c r="AC90" i="2"/>
  <c r="AC192" i="2" s="1"/>
  <c r="AB88" i="2"/>
  <c r="AC97" i="2" l="1"/>
  <c r="AC198" i="2"/>
  <c r="AC228" i="2" s="1"/>
  <c r="AC148" i="2"/>
  <c r="AD90" i="2"/>
  <c r="AC88" i="2"/>
  <c r="AB121" i="2"/>
  <c r="AD198" i="2" l="1"/>
  <c r="AD228" i="2" s="1"/>
  <c r="AD192" i="2"/>
  <c r="AD148" i="2"/>
  <c r="AD97" i="2"/>
  <c r="AC130" i="2"/>
  <c r="AC141" i="2"/>
  <c r="AE90" i="2"/>
  <c r="AE192" i="2" s="1"/>
  <c r="AC131" i="2"/>
  <c r="AD129" i="2"/>
  <c r="AD88" i="2"/>
  <c r="AC121" i="2"/>
  <c r="AE97" i="2" l="1"/>
  <c r="AE198" i="2"/>
  <c r="AE228" i="2" s="1"/>
  <c r="AE148" i="2"/>
  <c r="AF90" i="2"/>
  <c r="AF192" i="2" s="1"/>
  <c r="AE88" i="2"/>
  <c r="AE121" i="2" s="1"/>
  <c r="AD121" i="2"/>
  <c r="AF97" i="2" l="1"/>
  <c r="AF198" i="2"/>
  <c r="AF228" i="2" s="1"/>
  <c r="AF148" i="2"/>
  <c r="AD130" i="2"/>
  <c r="AD141" i="2"/>
  <c r="AF88" i="2"/>
  <c r="AF121" i="2" s="1"/>
  <c r="AG90" i="2"/>
  <c r="AG192" i="2" s="1"/>
  <c r="AD131" i="2"/>
  <c r="AE129" i="2"/>
  <c r="I130" i="2"/>
  <c r="AG97" i="2" l="1"/>
  <c r="AG198" i="2"/>
  <c r="AG228" i="2" s="1"/>
  <c r="AG148" i="2"/>
  <c r="AH90" i="2"/>
  <c r="AH192" i="2" s="1"/>
  <c r="AG88" i="2"/>
  <c r="AG121" i="2" s="1"/>
  <c r="K142" i="2"/>
  <c r="AH97" i="2" l="1"/>
  <c r="AH198" i="2"/>
  <c r="AH228" i="2" s="1"/>
  <c r="AH148" i="2"/>
  <c r="AE130" i="2"/>
  <c r="AE141" i="2"/>
  <c r="AI90" i="2"/>
  <c r="AI192" i="2" s="1"/>
  <c r="AH88" i="2"/>
  <c r="AH121" i="2" s="1"/>
  <c r="AF129" i="2"/>
  <c r="AE131" i="2"/>
  <c r="J142" i="2"/>
  <c r="I142" i="2"/>
  <c r="Y142" i="2"/>
  <c r="AB142" i="2"/>
  <c r="P142" i="2"/>
  <c r="AC142" i="2"/>
  <c r="Q142" i="2"/>
  <c r="R142" i="2"/>
  <c r="N142" i="2"/>
  <c r="L142" i="2"/>
  <c r="O142" i="2"/>
  <c r="V142" i="2"/>
  <c r="S142" i="2"/>
  <c r="AD142" i="2"/>
  <c r="T142" i="2"/>
  <c r="U142" i="2"/>
  <c r="W142" i="2"/>
  <c r="AA142" i="2"/>
  <c r="Z142" i="2"/>
  <c r="X142" i="2"/>
  <c r="AI97" i="2" l="1"/>
  <c r="AI198" i="2"/>
  <c r="AI228" i="2" s="1"/>
  <c r="AI148" i="2"/>
  <c r="AJ90" i="2"/>
  <c r="AJ192" i="2" s="1"/>
  <c r="AI88" i="2"/>
  <c r="AI121" i="2" s="1"/>
  <c r="AE142" i="2"/>
  <c r="O11" i="2"/>
  <c r="O6" i="2"/>
  <c r="O9" i="2"/>
  <c r="O7" i="2"/>
  <c r="O12" i="2"/>
  <c r="AJ97" i="2" l="1"/>
  <c r="AJ198" i="2"/>
  <c r="AJ228" i="2" s="1"/>
  <c r="AJ148" i="2"/>
  <c r="AJ88" i="2"/>
  <c r="AJ121" i="2" s="1"/>
  <c r="AF130" i="2"/>
  <c r="AF141" i="2"/>
  <c r="AK90" i="2"/>
  <c r="AK192" i="2" s="1"/>
  <c r="AG129" i="2"/>
  <c r="AF131" i="2"/>
  <c r="O14" i="2"/>
  <c r="AK97" i="2" l="1"/>
  <c r="AK198" i="2"/>
  <c r="AK228" i="2" s="1"/>
  <c r="AK148" i="2"/>
  <c r="AK88" i="2"/>
  <c r="AK121" i="2" s="1"/>
  <c r="AL90" i="2"/>
  <c r="AL192" i="2" s="1"/>
  <c r="AF142" i="2"/>
  <c r="K6" i="2"/>
  <c r="K14" i="2" s="1"/>
  <c r="AL97" i="2" l="1"/>
  <c r="AL198" i="2"/>
  <c r="AL228" i="2" s="1"/>
  <c r="AL148" i="2"/>
  <c r="AG130" i="2"/>
  <c r="AG141" i="2"/>
  <c r="AL88" i="2"/>
  <c r="AL121" i="2" s="1"/>
  <c r="AM90" i="2"/>
  <c r="AM192" i="2" s="1"/>
  <c r="AG131" i="2"/>
  <c r="AH129" i="2"/>
  <c r="AM97" i="2" l="1"/>
  <c r="AM198" i="2"/>
  <c r="AM228" i="2" s="1"/>
  <c r="AM148" i="2"/>
  <c r="AN90" i="2"/>
  <c r="AN192" i="2" s="1"/>
  <c r="AM88" i="2"/>
  <c r="AM121" i="2" s="1"/>
  <c r="AG142" i="2"/>
  <c r="AN97" i="2" l="1"/>
  <c r="AN198" i="2"/>
  <c r="AN228" i="2" s="1"/>
  <c r="AN148" i="2"/>
  <c r="AO90" i="2"/>
  <c r="AO192" i="2" s="1"/>
  <c r="AH130" i="2"/>
  <c r="AH141" i="2"/>
  <c r="AN88" i="2"/>
  <c r="AN121" i="2" s="1"/>
  <c r="AH131" i="2"/>
  <c r="AI129" i="2"/>
  <c r="F5" i="4"/>
  <c r="AO97" i="2" l="1"/>
  <c r="AO198" i="2"/>
  <c r="AO228" i="2" s="1"/>
  <c r="AO148" i="2"/>
  <c r="AO88" i="2"/>
  <c r="AO121" i="2" s="1"/>
  <c r="AP90" i="2"/>
  <c r="AP192" i="2" s="1"/>
  <c r="AH142" i="2"/>
  <c r="F6" i="4"/>
  <c r="F11" i="4" s="1"/>
  <c r="AP97" i="2" l="1"/>
  <c r="AP198" i="2"/>
  <c r="AP228" i="2" s="1"/>
  <c r="AP148" i="2"/>
  <c r="AP88" i="2"/>
  <c r="AP121" i="2" s="1"/>
  <c r="AQ90" i="2"/>
  <c r="AQ192" i="2" s="1"/>
  <c r="AI130" i="2"/>
  <c r="AI141" i="2"/>
  <c r="AI131" i="2"/>
  <c r="AJ129" i="2"/>
  <c r="G5" i="4"/>
  <c r="AQ97" i="2" l="1"/>
  <c r="AQ198" i="2"/>
  <c r="AQ228" i="2" s="1"/>
  <c r="AQ148" i="2"/>
  <c r="AR90" i="2"/>
  <c r="AQ88" i="2"/>
  <c r="AQ121" i="2" s="1"/>
  <c r="AI142" i="2"/>
  <c r="G6" i="4"/>
  <c r="G11" i="4" s="1"/>
  <c r="AR198" i="2" l="1"/>
  <c r="AR228" i="2" s="1"/>
  <c r="AR192" i="2"/>
  <c r="AS90" i="2"/>
  <c r="AS192" i="2" s="1"/>
  <c r="AR97" i="2"/>
  <c r="AR88" i="2"/>
  <c r="AR121" i="2" s="1"/>
  <c r="AR148" i="2"/>
  <c r="AJ130" i="2"/>
  <c r="AJ141" i="2"/>
  <c r="AJ131" i="2"/>
  <c r="AK129" i="2"/>
  <c r="H5" i="4"/>
  <c r="AS148" i="2" l="1"/>
  <c r="AS97" i="2"/>
  <c r="AT90" i="2"/>
  <c r="AS198" i="2"/>
  <c r="AS228" i="2" s="1"/>
  <c r="AS88" i="2"/>
  <c r="AS121" i="2" s="1"/>
  <c r="AK141" i="2"/>
  <c r="BK141" i="2" s="1"/>
  <c r="AJ142" i="2"/>
  <c r="I5" i="4"/>
  <c r="AT97" i="2" l="1"/>
  <c r="AT192" i="2"/>
  <c r="AT88" i="2"/>
  <c r="AT121" i="2" s="1"/>
  <c r="AU90" i="2"/>
  <c r="AU192" i="2" s="1"/>
  <c r="AT198" i="2"/>
  <c r="AT228" i="2" s="1"/>
  <c r="AT148" i="2"/>
  <c r="AK130" i="2"/>
  <c r="AK131" i="2"/>
  <c r="J5" i="4"/>
  <c r="AU88" i="2" l="1"/>
  <c r="AU121" i="2" s="1"/>
  <c r="AV90" i="2"/>
  <c r="AV192" i="2" s="1"/>
  <c r="AU97" i="2"/>
  <c r="AU148" i="2"/>
  <c r="AU198" i="2"/>
  <c r="AU228" i="2" s="1"/>
  <c r="AL130" i="2"/>
  <c r="AL141" i="2"/>
  <c r="AK142" i="2"/>
  <c r="K5" i="4"/>
  <c r="AV97" i="2" l="1"/>
  <c r="AV88" i="2"/>
  <c r="AV121" i="2" s="1"/>
  <c r="AV198" i="2"/>
  <c r="AV228" i="2" s="1"/>
  <c r="AW90" i="2"/>
  <c r="AW192" i="2" s="1"/>
  <c r="AV148" i="2"/>
  <c r="AV149" i="2" s="1"/>
  <c r="AV154" i="2" s="1"/>
  <c r="AL131" i="2"/>
  <c r="AM129" i="2"/>
  <c r="L5" i="4"/>
  <c r="AW97" i="2" l="1"/>
  <c r="AW198" i="2"/>
  <c r="AX90" i="2"/>
  <c r="AX192" i="2" s="1"/>
  <c r="AW88" i="2"/>
  <c r="AW121" i="2" s="1"/>
  <c r="AW148" i="2"/>
  <c r="AW149" i="2" s="1"/>
  <c r="AW154" i="2" s="1"/>
  <c r="AL142" i="2"/>
  <c r="M5" i="4"/>
  <c r="AX97" i="2" l="1"/>
  <c r="AX88" i="2"/>
  <c r="AX121" i="2" s="1"/>
  <c r="AY90" i="2"/>
  <c r="AY192" i="2" s="1"/>
  <c r="AX198" i="2"/>
  <c r="AX148" i="2"/>
  <c r="AX149" i="2" s="1"/>
  <c r="AX154" i="2" s="1"/>
  <c r="AM130" i="2"/>
  <c r="AM141" i="2"/>
  <c r="AN129" i="2"/>
  <c r="AM131" i="2"/>
  <c r="M6" i="4"/>
  <c r="M11" i="4" s="1"/>
  <c r="AY97" i="2" l="1"/>
  <c r="AY198" i="2"/>
  <c r="AY88" i="2"/>
  <c r="AY121" i="2" s="1"/>
  <c r="AZ90" i="2"/>
  <c r="AZ192" i="2" s="1"/>
  <c r="AY148" i="2"/>
  <c r="AY149" i="2" s="1"/>
  <c r="AY154" i="2" s="1"/>
  <c r="AM142" i="2"/>
  <c r="N5" i="4"/>
  <c r="AZ97" i="2" l="1"/>
  <c r="BA90" i="2"/>
  <c r="BA192" i="2" s="1"/>
  <c r="AZ88" i="2"/>
  <c r="AZ121" i="2" s="1"/>
  <c r="AZ198" i="2"/>
  <c r="AZ148" i="2"/>
  <c r="AZ149" i="2" s="1"/>
  <c r="AZ154" i="2" s="1"/>
  <c r="AN130" i="2"/>
  <c r="AN141" i="2"/>
  <c r="AN131" i="2"/>
  <c r="AO129" i="2"/>
  <c r="H6" i="4"/>
  <c r="I6" i="4"/>
  <c r="I11" i="4" s="1"/>
  <c r="J6" i="4"/>
  <c r="J11" i="4" s="1"/>
  <c r="K6" i="4"/>
  <c r="K11" i="4" s="1"/>
  <c r="L6" i="4"/>
  <c r="L11" i="4" s="1"/>
  <c r="N6" i="4"/>
  <c r="N11" i="4" s="1"/>
  <c r="BA97" i="2" l="1"/>
  <c r="BA88" i="2"/>
  <c r="BA121" i="2" s="1"/>
  <c r="BB90" i="2"/>
  <c r="BB192" i="2" s="1"/>
  <c r="BA198" i="2"/>
  <c r="BA148" i="2"/>
  <c r="BA149" i="2" s="1"/>
  <c r="BA154" i="2" s="1"/>
  <c r="AO130" i="2"/>
  <c r="AO141" i="2"/>
  <c r="AN142" i="2"/>
  <c r="H11" i="4"/>
  <c r="H33" i="6" l="1"/>
  <c r="BB97" i="2"/>
  <c r="BB198" i="2"/>
  <c r="BB88" i="2"/>
  <c r="BB121" i="2" s="1"/>
  <c r="BB148" i="2"/>
  <c r="AO131" i="2"/>
  <c r="AP129" i="2"/>
  <c r="O6" i="4"/>
  <c r="O5" i="4"/>
  <c r="O10" i="4" s="1"/>
  <c r="P10" i="4" s="1"/>
  <c r="F10" i="4" s="1"/>
  <c r="G10" i="4" s="1"/>
  <c r="H10" i="4" s="1"/>
  <c r="I10" i="4" s="1"/>
  <c r="J10" i="4" s="1"/>
  <c r="K10" i="4" s="1"/>
  <c r="L10" i="4" s="1"/>
  <c r="M10" i="4" s="1"/>
  <c r="N10" i="4" s="1"/>
  <c r="BB149" i="2" l="1"/>
  <c r="BB154" i="2" s="1"/>
  <c r="BF148" i="2"/>
  <c r="BG148" i="2"/>
  <c r="BH148" i="2"/>
  <c r="BI148" i="2"/>
  <c r="BJ148" i="2"/>
  <c r="BK148" i="2"/>
  <c r="BL148" i="2"/>
  <c r="BM148" i="2"/>
  <c r="BN148" i="2"/>
  <c r="E34" i="6"/>
  <c r="H34" i="6"/>
  <c r="AO142" i="2"/>
  <c r="O11" i="4"/>
  <c r="Q13" i="4"/>
  <c r="Q11" i="4"/>
  <c r="R11" i="4"/>
  <c r="AP130" i="2" l="1"/>
  <c r="AP141" i="2"/>
  <c r="AP131" i="2"/>
  <c r="AQ129" i="2"/>
  <c r="AU130" i="2" l="1"/>
  <c r="AP142" i="2"/>
  <c r="AQ130" i="2" l="1"/>
  <c r="AQ141" i="2"/>
  <c r="AQ131" i="2"/>
  <c r="AR129" i="2"/>
  <c r="AV130" i="2" l="1"/>
  <c r="AQ142" i="2"/>
  <c r="AR130" i="2" l="1"/>
  <c r="AR141" i="2"/>
  <c r="AR131" i="2"/>
  <c r="AS129" i="2"/>
  <c r="AW130" i="2" l="1"/>
  <c r="AR142" i="2"/>
  <c r="AS130" i="2" l="1"/>
  <c r="AS141" i="2"/>
  <c r="AS131" i="2"/>
  <c r="AT129" i="2"/>
  <c r="BN129" i="2" l="1"/>
  <c r="BF129" i="2"/>
  <c r="BI129" i="2"/>
  <c r="BI130" i="2" s="1"/>
  <c r="BJ129" i="2"/>
  <c r="BK129" i="2"/>
  <c r="BL129" i="2"/>
  <c r="BM129" i="2"/>
  <c r="AX130" i="2"/>
  <c r="AS142" i="2"/>
  <c r="BM130" i="2" l="1"/>
  <c r="BL130" i="2"/>
  <c r="BK130" i="2"/>
  <c r="BJ130" i="2"/>
  <c r="BF130" i="2"/>
  <c r="BE130" i="2" s="1"/>
  <c r="BG130" i="2"/>
  <c r="BN130" i="2"/>
  <c r="AT130" i="2"/>
  <c r="AT141" i="2"/>
  <c r="AT131" i="2"/>
  <c r="BN141" i="2" l="1"/>
  <c r="BI141" i="2"/>
  <c r="BJ141" i="2"/>
  <c r="BL141" i="2"/>
  <c r="BM141" i="2"/>
  <c r="AS170" i="2"/>
  <c r="AR170" i="2"/>
  <c r="AT142" i="2"/>
  <c r="AS171" i="2" l="1"/>
  <c r="AT171" i="2"/>
  <c r="I30" i="13"/>
  <c r="J30" i="13" l="1"/>
  <c r="G182" i="2" l="1"/>
  <c r="G184" i="2" s="1"/>
  <c r="G170" i="2" s="1"/>
  <c r="H145" i="2" s="1"/>
  <c r="F185" i="2"/>
  <c r="M145" i="2" l="1"/>
  <c r="H182" i="2"/>
  <c r="G187" i="2"/>
  <c r="G41" i="13"/>
  <c r="G169" i="2" l="1"/>
  <c r="G39" i="13" s="1"/>
  <c r="H149" i="2"/>
  <c r="G171" i="2"/>
  <c r="G34" i="13"/>
  <c r="G10" i="14" s="1"/>
  <c r="H154" i="2" l="1"/>
  <c r="H9" i="14"/>
  <c r="G10" i="16"/>
  <c r="G185" i="2"/>
  <c r="H157" i="2" l="1"/>
  <c r="H158" i="2" s="1"/>
  <c r="H156" i="2"/>
  <c r="K39" i="13"/>
  <c r="H13" i="13" l="1"/>
  <c r="H19" i="13" s="1"/>
  <c r="K144" i="2"/>
  <c r="BE144" i="2" s="1"/>
  <c r="J34" i="13"/>
  <c r="K12" i="13" l="1"/>
  <c r="K34" i="13"/>
  <c r="L149" i="2"/>
  <c r="K149" i="2"/>
  <c r="K154" i="2" s="1"/>
  <c r="K13" i="13"/>
  <c r="K19" i="13" s="1"/>
  <c r="H159" i="2" l="1"/>
  <c r="H167" i="2" s="1"/>
  <c r="H183" i="2" s="1"/>
  <c r="H184" i="2" s="1"/>
  <c r="L154" i="2"/>
  <c r="M170" i="2"/>
  <c r="M149" i="2"/>
  <c r="N145" i="2" l="1"/>
  <c r="N149" i="2" s="1"/>
  <c r="BE170" i="2"/>
  <c r="H185" i="2"/>
  <c r="H170" i="2"/>
  <c r="H169" i="2" s="1"/>
  <c r="H20" i="13"/>
  <c r="H21" i="13" s="1"/>
  <c r="H29" i="13" s="1"/>
  <c r="H32" i="13" s="1"/>
  <c r="H33" i="13" s="1"/>
  <c r="M171" i="2"/>
  <c r="N170" i="2"/>
  <c r="M154" i="2"/>
  <c r="O145" i="2" l="1"/>
  <c r="I31" i="13"/>
  <c r="N171" i="2"/>
  <c r="O144" i="2"/>
  <c r="BF144" i="2" s="1"/>
  <c r="O170" i="2"/>
  <c r="P145" i="2" s="1"/>
  <c r="N154" i="2"/>
  <c r="O149" i="2" l="1"/>
  <c r="P170" i="2"/>
  <c r="O171" i="2"/>
  <c r="P149" i="2"/>
  <c r="Q145" i="2" l="1"/>
  <c r="Q149" i="2" s="1"/>
  <c r="BF149" i="2" s="1"/>
  <c r="H39" i="13"/>
  <c r="I182" i="2"/>
  <c r="O154" i="2"/>
  <c r="H41" i="13"/>
  <c r="Q170" i="2"/>
  <c r="BF170" i="2" s="1"/>
  <c r="BF171" i="2" s="1"/>
  <c r="P171" i="2"/>
  <c r="P154" i="2"/>
  <c r="H171" i="2" l="1"/>
  <c r="H34" i="13"/>
  <c r="I145" i="2"/>
  <c r="Q154" i="2"/>
  <c r="BF154" i="2" s="1"/>
  <c r="R170" i="2"/>
  <c r="Q171" i="2"/>
  <c r="R145" i="2"/>
  <c r="R149" i="2" l="1"/>
  <c r="I13" i="13"/>
  <c r="I149" i="2"/>
  <c r="S144" i="2"/>
  <c r="BG144" i="2" s="1"/>
  <c r="S145" i="2"/>
  <c r="R171" i="2"/>
  <c r="S170" i="2"/>
  <c r="R154" i="2" l="1"/>
  <c r="S149" i="2"/>
  <c r="S154" i="2" s="1"/>
  <c r="T145" i="2"/>
  <c r="S171" i="2"/>
  <c r="T170" i="2"/>
  <c r="T149" i="2" l="1"/>
  <c r="T154" i="2" s="1"/>
  <c r="U170" i="2"/>
  <c r="BG170" i="2" s="1"/>
  <c r="BG171" i="2" s="1"/>
  <c r="T171" i="2"/>
  <c r="U145" i="2"/>
  <c r="U149" i="2" s="1"/>
  <c r="BG145" i="2" l="1"/>
  <c r="BG149" i="2"/>
  <c r="U154" i="2"/>
  <c r="BG154" i="2" s="1"/>
  <c r="V170" i="2"/>
  <c r="V145" i="2"/>
  <c r="U171" i="2"/>
  <c r="V149" i="2" l="1"/>
  <c r="V154" i="2" s="1"/>
  <c r="W145" i="2"/>
  <c r="V171" i="2"/>
  <c r="W144" i="2"/>
  <c r="BH144" i="2" s="1"/>
  <c r="W170" i="2"/>
  <c r="W149" i="2" l="1"/>
  <c r="W171" i="2"/>
  <c r="X145" i="2"/>
  <c r="X170" i="2"/>
  <c r="X149" i="2" l="1"/>
  <c r="W154" i="2"/>
  <c r="Y170" i="2"/>
  <c r="X171" i="2"/>
  <c r="Y145" i="2"/>
  <c r="Y149" i="2" s="1"/>
  <c r="X154" i="2" l="1"/>
  <c r="BH149" i="2"/>
  <c r="BH145" i="2"/>
  <c r="Y171" i="2"/>
  <c r="Z145" i="2"/>
  <c r="Y154" i="2"/>
  <c r="Z170" i="2"/>
  <c r="BH154" i="2" l="1"/>
  <c r="Z149" i="2"/>
  <c r="Z154" i="2" s="1"/>
  <c r="AA170" i="2"/>
  <c r="Z171" i="2"/>
  <c r="AA145" i="2"/>
  <c r="AA144" i="2"/>
  <c r="BI144" i="2" s="1"/>
  <c r="AA149" i="2" l="1"/>
  <c r="AB170" i="2"/>
  <c r="AA171" i="2"/>
  <c r="AB145" i="2"/>
  <c r="AA154" i="2" l="1"/>
  <c r="AB149" i="2"/>
  <c r="AB171" i="2"/>
  <c r="AC145" i="2"/>
  <c r="AC149" i="2" s="1"/>
  <c r="AC170" i="2"/>
  <c r="BI145" i="2" l="1"/>
  <c r="AB154" i="2"/>
  <c r="BI149" i="2"/>
  <c r="AC154" i="2"/>
  <c r="BI154" i="2" s="1"/>
  <c r="AD170" i="2"/>
  <c r="AC171" i="2"/>
  <c r="AD145" i="2"/>
  <c r="AD149" i="2" l="1"/>
  <c r="AE145" i="2"/>
  <c r="AD171" i="2"/>
  <c r="AE144" i="2"/>
  <c r="BJ144" i="2" s="1"/>
  <c r="AE170" i="2"/>
  <c r="AD154" i="2" l="1"/>
  <c r="AE149" i="2"/>
  <c r="AE154" i="2" s="1"/>
  <c r="AE171" i="2"/>
  <c r="AF145" i="2"/>
  <c r="AF170" i="2"/>
  <c r="AF149" i="2" l="1"/>
  <c r="AF171" i="2"/>
  <c r="AG145" i="2"/>
  <c r="AG149" i="2" s="1"/>
  <c r="AG170" i="2"/>
  <c r="BJ170" i="2" s="1"/>
  <c r="AF154" i="2" l="1"/>
  <c r="BJ149" i="2"/>
  <c r="BJ145" i="2"/>
  <c r="AG154" i="2"/>
  <c r="AH170" i="2"/>
  <c r="AG171" i="2"/>
  <c r="AH145" i="2"/>
  <c r="BJ154" i="2" l="1"/>
  <c r="AH149" i="2"/>
  <c r="AI170" i="2"/>
  <c r="AI145" i="2"/>
  <c r="AH171" i="2"/>
  <c r="AI144" i="2"/>
  <c r="BK144" i="2" s="1"/>
  <c r="AH154" i="2" l="1"/>
  <c r="AI149" i="2"/>
  <c r="AI154" i="2" s="1"/>
  <c r="AJ170" i="2"/>
  <c r="AI171" i="2"/>
  <c r="AJ145" i="2"/>
  <c r="AJ149" i="2" l="1"/>
  <c r="AJ154" i="2" s="1"/>
  <c r="AJ171" i="2"/>
  <c r="AK145" i="2"/>
  <c r="AK149" i="2" s="1"/>
  <c r="AK170" i="2"/>
  <c r="BK170" i="2" s="1"/>
  <c r="BK171" i="2" s="1"/>
  <c r="BK149" i="2" l="1"/>
  <c r="AL170" i="2"/>
  <c r="AK154" i="2"/>
  <c r="BK154" i="2" s="1"/>
  <c r="AK171" i="2"/>
  <c r="AL145" i="2"/>
  <c r="AL149" i="2" l="1"/>
  <c r="AM170" i="2"/>
  <c r="AL171" i="2"/>
  <c r="AM145" i="2"/>
  <c r="AM144" i="2"/>
  <c r="BL144" i="2" s="1"/>
  <c r="AL154" i="2" l="1"/>
  <c r="AM149" i="2"/>
  <c r="AM154" i="2" s="1"/>
  <c r="AM171" i="2"/>
  <c r="AN145" i="2"/>
  <c r="AN170" i="2"/>
  <c r="AN149" i="2" l="1"/>
  <c r="AN171" i="2"/>
  <c r="AO145" i="2"/>
  <c r="AO149" i="2" s="1"/>
  <c r="AO170" i="2"/>
  <c r="BL170" i="2" s="1"/>
  <c r="BL171" i="2" s="1"/>
  <c r="AP170" i="2"/>
  <c r="BL145" i="2" l="1"/>
  <c r="AN154" i="2"/>
  <c r="BL149" i="2"/>
  <c r="AO171" i="2"/>
  <c r="AP145" i="2"/>
  <c r="AO154" i="2"/>
  <c r="BL154" i="2" l="1"/>
  <c r="AP149" i="2"/>
  <c r="AQ170" i="2"/>
  <c r="AP171" i="2"/>
  <c r="AQ145" i="2"/>
  <c r="AQ144" i="2"/>
  <c r="BM144" i="2" s="1"/>
  <c r="BH170" i="2" l="1"/>
  <c r="BH171" i="2" s="1"/>
  <c r="BI170" i="2"/>
  <c r="BM170" i="2"/>
  <c r="AP154" i="2"/>
  <c r="AQ171" i="2"/>
  <c r="AR171" i="2"/>
  <c r="AQ149" i="2"/>
  <c r="AQ154" i="2" s="1"/>
  <c r="BI171" i="2" l="1"/>
  <c r="BJ171" i="2"/>
  <c r="BM171" i="2"/>
  <c r="BN171" i="2"/>
  <c r="AR145" i="2"/>
  <c r="AR149" i="2" l="1"/>
  <c r="AS145" i="2"/>
  <c r="AS149" i="2" s="1"/>
  <c r="BM145" i="2" l="1"/>
  <c r="AR154" i="2"/>
  <c r="BM149" i="2"/>
  <c r="AT145" i="2"/>
  <c r="AS154" i="2"/>
  <c r="BM154" i="2" l="1"/>
  <c r="AT149" i="2"/>
  <c r="AU145" i="2"/>
  <c r="BN145" i="2" s="1"/>
  <c r="AU144" i="2"/>
  <c r="BN144" i="2" s="1"/>
  <c r="AT154" i="2" l="1"/>
  <c r="BF145" i="2"/>
  <c r="BK145" i="2"/>
  <c r="AU149" i="2"/>
  <c r="BN149" i="2" s="1"/>
  <c r="AU154" i="2" l="1"/>
  <c r="BN154" i="2" s="1"/>
  <c r="J173" i="2"/>
  <c r="J35" i="13" l="1"/>
  <c r="K173" i="2"/>
  <c r="K35" i="13" l="1"/>
  <c r="L173" i="2"/>
  <c r="M173" i="2" l="1"/>
  <c r="N173" i="2" s="1"/>
  <c r="BE173" i="2"/>
  <c r="O173" i="2" l="1"/>
  <c r="P173" i="2" l="1"/>
  <c r="Q173" i="2" l="1"/>
  <c r="BF173" i="2" s="1"/>
  <c r="R173" i="2" l="1"/>
  <c r="S173" i="2" l="1"/>
  <c r="T173" i="2" l="1"/>
  <c r="U173" i="2" l="1"/>
  <c r="V173" i="2" l="1"/>
  <c r="W173" i="2" l="1"/>
  <c r="X173" i="2" l="1"/>
  <c r="Y173" i="2" l="1"/>
  <c r="BH173" i="2" s="1"/>
  <c r="Z173" i="2" l="1"/>
  <c r="AA173" i="2" l="1"/>
  <c r="AB173" i="2" l="1"/>
  <c r="AC173" i="2" l="1"/>
  <c r="BI173" i="2" s="1"/>
  <c r="AD173" i="2" l="1"/>
  <c r="AE173" i="2" l="1"/>
  <c r="AF173" i="2" l="1"/>
  <c r="AG173" i="2" l="1"/>
  <c r="BJ173" i="2" s="1"/>
  <c r="AH173" i="2" l="1"/>
  <c r="AI173" i="2" l="1"/>
  <c r="AJ173" i="2" l="1"/>
  <c r="AK173" i="2" l="1"/>
  <c r="BK173" i="2" s="1"/>
  <c r="AL173" i="2" l="1"/>
  <c r="AM173" i="2" l="1"/>
  <c r="AN173" i="2" l="1"/>
  <c r="AO173" i="2" l="1"/>
  <c r="BL173" i="2" s="1"/>
  <c r="AP173" i="2" l="1"/>
  <c r="AQ173" i="2" l="1"/>
  <c r="AR173" i="2" l="1"/>
  <c r="BM173" i="2" l="1"/>
  <c r="AS173" i="2"/>
  <c r="AT173" i="2" l="1"/>
  <c r="I25" i="13"/>
  <c r="I15" i="13"/>
  <c r="I19" i="13" s="1"/>
  <c r="I154" i="2"/>
  <c r="AU173" i="2" l="1"/>
  <c r="AV173" i="2" s="1"/>
  <c r="AW173" i="2" s="1"/>
  <c r="BN173" i="2"/>
  <c r="I156" i="2"/>
  <c r="I157" i="2" s="1"/>
  <c r="I158" i="2" s="1"/>
  <c r="I159" i="2" s="1"/>
  <c r="AX173" i="2" l="1"/>
  <c r="AY173" i="2" s="1"/>
  <c r="AZ173" i="2" s="1"/>
  <c r="BA173" i="2" s="1"/>
  <c r="BB173" i="2" s="1"/>
  <c r="BG173" i="2"/>
  <c r="I20" i="13"/>
  <c r="I21" i="13" s="1"/>
  <c r="I29" i="13" s="1"/>
  <c r="I32" i="13" s="1"/>
  <c r="I33" i="13" s="1"/>
  <c r="I167" i="2"/>
  <c r="I183" i="2" s="1"/>
  <c r="I184" i="2" s="1"/>
  <c r="J31" i="13" l="1"/>
  <c r="I41" i="13" l="1"/>
  <c r="I185" i="2"/>
  <c r="J182" i="2"/>
  <c r="J15" i="13"/>
  <c r="K177" i="2" l="1"/>
  <c r="K220" i="2"/>
  <c r="K235" i="2"/>
  <c r="K38" i="13"/>
  <c r="K239" i="2" l="1"/>
  <c r="K237" i="2"/>
  <c r="K224" i="2"/>
  <c r="K222" i="2"/>
  <c r="K30" i="13"/>
  <c r="D97" i="6"/>
  <c r="K33" i="6" l="1"/>
  <c r="K34" i="6"/>
  <c r="L179" i="2"/>
  <c r="L235" i="2"/>
  <c r="L220" i="2"/>
  <c r="L177" i="2"/>
  <c r="L211" i="2"/>
  <c r="M177" i="2" l="1"/>
  <c r="M179" i="2"/>
  <c r="L222" i="2"/>
  <c r="L224" i="2"/>
  <c r="L239" i="2"/>
  <c r="L237" i="2"/>
  <c r="M235" i="2" l="1"/>
  <c r="M239" i="2" s="1"/>
  <c r="M220" i="2"/>
  <c r="M224" i="2" s="1"/>
  <c r="M211" i="2"/>
  <c r="M237" i="2" l="1"/>
  <c r="M222" i="2"/>
  <c r="N235" i="2" l="1"/>
  <c r="N237" i="2" s="1"/>
  <c r="N177" i="2"/>
  <c r="N220" i="2"/>
  <c r="N222" i="2" s="1"/>
  <c r="N179" i="2"/>
  <c r="N211" i="2"/>
  <c r="N239" i="2" l="1"/>
  <c r="N224" i="2"/>
  <c r="E96" i="6" l="1"/>
  <c r="O211" i="2"/>
  <c r="E97" i="6" l="1"/>
  <c r="F96" i="6" l="1"/>
  <c r="F97" i="6" l="1"/>
  <c r="G96" i="6" l="1"/>
  <c r="G97" i="6" l="1"/>
  <c r="H96" i="6" l="1"/>
  <c r="H97" i="6" l="1"/>
  <c r="I96" i="6" l="1"/>
  <c r="I97" i="6" l="1"/>
  <c r="J96" i="6" l="1"/>
  <c r="J97" i="6" l="1"/>
  <c r="K96" i="6" l="1"/>
  <c r="K97" i="6" l="1"/>
  <c r="L96" i="6" l="1"/>
  <c r="L97" i="6" l="1"/>
  <c r="M96" i="6" l="1"/>
  <c r="M97" i="6" l="1"/>
  <c r="I39" i="13" l="1"/>
  <c r="I170" i="2"/>
  <c r="BE171" i="2" s="1"/>
  <c r="J145" i="2" l="1"/>
  <c r="BE145" i="2" s="1"/>
  <c r="I174" i="2"/>
  <c r="I175" i="2" s="1"/>
  <c r="I176" i="2" s="1"/>
  <c r="I171" i="2"/>
  <c r="I34" i="13"/>
  <c r="J171" i="2"/>
  <c r="I194" i="2" l="1"/>
  <c r="J149" i="2"/>
  <c r="BE149" i="2" s="1"/>
  <c r="J13" i="13"/>
  <c r="J19" i="13" s="1"/>
  <c r="I37" i="13"/>
  <c r="I36" i="13"/>
  <c r="J154" i="2" l="1"/>
  <c r="BE154" i="2" s="1"/>
  <c r="J156" i="2" l="1"/>
  <c r="J157" i="2" s="1"/>
  <c r="J158" i="2" s="1"/>
  <c r="J159" i="2" s="1"/>
  <c r="J20" i="13" s="1"/>
  <c r="J21" i="13" s="1"/>
  <c r="J29" i="13" s="1"/>
  <c r="J32" i="13" s="1"/>
  <c r="J167" i="2" l="1"/>
  <c r="J183" i="2" s="1"/>
  <c r="J184" i="2" s="1"/>
  <c r="J41" i="13" s="1"/>
  <c r="K156" i="2"/>
  <c r="K157" i="2" s="1"/>
  <c r="K158" i="2" s="1"/>
  <c r="K159" i="2" s="1"/>
  <c r="J33" i="13"/>
  <c r="K31" i="13"/>
  <c r="L156" i="2" l="1"/>
  <c r="K167" i="2"/>
  <c r="K20" i="13"/>
  <c r="K21" i="13" s="1"/>
  <c r="K29" i="13" s="1"/>
  <c r="K32" i="13" s="1"/>
  <c r="K182" i="2"/>
  <c r="J174" i="2"/>
  <c r="J185" i="2"/>
  <c r="J36" i="13" l="1"/>
  <c r="J175" i="2"/>
  <c r="K183" i="2"/>
  <c r="K184" i="2" s="1"/>
  <c r="K41" i="13" s="1"/>
  <c r="L157" i="2"/>
  <c r="L158" i="2" s="1"/>
  <c r="L159" i="2" s="1"/>
  <c r="K33" i="13"/>
  <c r="M156" i="2" l="1"/>
  <c r="M157" i="2" s="1"/>
  <c r="M158" i="2" s="1"/>
  <c r="M159" i="2" s="1"/>
  <c r="M167" i="2" s="1"/>
  <c r="M183" i="2" s="1"/>
  <c r="L167" i="2"/>
  <c r="J176" i="2"/>
  <c r="J37" i="13"/>
  <c r="J194" i="2"/>
  <c r="E31" i="6" s="1"/>
  <c r="F31" i="6" s="1"/>
  <c r="G31" i="6" s="1"/>
  <c r="L182" i="2"/>
  <c r="K174" i="2"/>
  <c r="K185" i="2"/>
  <c r="BE167" i="2" l="1"/>
  <c r="N156" i="2"/>
  <c r="K36" i="13"/>
  <c r="K175" i="2"/>
  <c r="L183" i="2"/>
  <c r="L184" i="2" s="1"/>
  <c r="L174" i="2" l="1"/>
  <c r="L185" i="2"/>
  <c r="M182" i="2"/>
  <c r="M184" i="2" s="1"/>
  <c r="L41" i="13"/>
  <c r="N157" i="2"/>
  <c r="N158" i="2" s="1"/>
  <c r="N159" i="2" s="1"/>
  <c r="K176" i="2"/>
  <c r="K37" i="13"/>
  <c r="K194" i="2"/>
  <c r="H31" i="6" s="1"/>
  <c r="I31" i="6" s="1"/>
  <c r="J31" i="6" s="1"/>
  <c r="L175" i="2" l="1"/>
  <c r="L176" i="2" s="1"/>
  <c r="O156" i="2"/>
  <c r="O157" i="2" s="1"/>
  <c r="M174" i="2"/>
  <c r="M185" i="2"/>
  <c r="N182" i="2"/>
  <c r="M41" i="13"/>
  <c r="N167" i="2"/>
  <c r="L194" i="2" l="1"/>
  <c r="K31" i="6" s="1"/>
  <c r="L31" i="6" s="1"/>
  <c r="M31" i="6" s="1"/>
  <c r="M175" i="2"/>
  <c r="BE175" i="2" s="1"/>
  <c r="BE176" i="2"/>
  <c r="BE174" i="2"/>
  <c r="O158" i="2"/>
  <c r="O159" i="2" s="1"/>
  <c r="P156" i="2"/>
  <c r="P157" i="2" s="1"/>
  <c r="P158" i="2" s="1"/>
  <c r="P159" i="2" s="1"/>
  <c r="N183" i="2"/>
  <c r="N184" i="2" s="1"/>
  <c r="M176" i="2" l="1"/>
  <c r="M194" i="2"/>
  <c r="N31" i="6" s="1"/>
  <c r="O31" i="6" s="1"/>
  <c r="P31" i="6" s="1"/>
  <c r="O167" i="2"/>
  <c r="P167" i="2"/>
  <c r="Q156" i="2"/>
  <c r="N185" i="2"/>
  <c r="O182" i="2"/>
  <c r="N41" i="13"/>
  <c r="N174" i="2"/>
  <c r="N175" i="2" l="1"/>
  <c r="N194" i="2" s="1"/>
  <c r="Q31" i="6" s="1"/>
  <c r="R31" i="6" s="1"/>
  <c r="S31" i="6" s="1"/>
  <c r="O195" i="2"/>
  <c r="O235" i="2"/>
  <c r="O179" i="2"/>
  <c r="O177" i="2"/>
  <c r="O220" i="2"/>
  <c r="Q157" i="2"/>
  <c r="Q158" i="2" s="1"/>
  <c r="Q159" i="2" s="1"/>
  <c r="BF159" i="2" s="1"/>
  <c r="N176" i="2" l="1"/>
  <c r="O183" i="2"/>
  <c r="O184" i="2" s="1"/>
  <c r="O185" i="2" s="1"/>
  <c r="P220" i="2"/>
  <c r="O222" i="2"/>
  <c r="O224" i="2"/>
  <c r="O237" i="2"/>
  <c r="O239" i="2"/>
  <c r="T33" i="6"/>
  <c r="T34" i="6"/>
  <c r="R156" i="2"/>
  <c r="R157" i="2" s="1"/>
  <c r="R158" i="2" s="1"/>
  <c r="R159" i="2" s="1"/>
  <c r="Q167" i="2"/>
  <c r="BF167" i="2" s="1"/>
  <c r="O174" i="2" l="1"/>
  <c r="O175" i="2" s="1"/>
  <c r="O194" i="2" s="1"/>
  <c r="T31" i="6" s="1"/>
  <c r="U31" i="6" s="1"/>
  <c r="V31" i="6" s="1"/>
  <c r="O41" i="13"/>
  <c r="P182" i="2"/>
  <c r="R167" i="2"/>
  <c r="P179" i="2"/>
  <c r="P235" i="2"/>
  <c r="P237" i="2" s="1"/>
  <c r="P177" i="2"/>
  <c r="P195" i="2"/>
  <c r="W33" i="6" s="1"/>
  <c r="P222" i="2"/>
  <c r="P224" i="2"/>
  <c r="P239" i="2"/>
  <c r="S156" i="2"/>
  <c r="P183" i="2" l="1"/>
  <c r="P184" i="2" s="1"/>
  <c r="P41" i="13" s="1"/>
  <c r="O176" i="2"/>
  <c r="W34" i="6"/>
  <c r="S157" i="2"/>
  <c r="S158" i="2" s="1"/>
  <c r="S159" i="2" s="1"/>
  <c r="P174" i="2" l="1"/>
  <c r="P175" i="2" s="1"/>
  <c r="P194" i="2" s="1"/>
  <c r="W31" i="6" s="1"/>
  <c r="X31" i="6" s="1"/>
  <c r="Y31" i="6" s="1"/>
  <c r="Q178" i="2"/>
  <c r="Q220" i="2" s="1"/>
  <c r="Q224" i="2" s="1"/>
  <c r="P185" i="2"/>
  <c r="Q182" i="2"/>
  <c r="T156" i="2"/>
  <c r="T157" i="2" s="1"/>
  <c r="T158" i="2" s="1"/>
  <c r="T159" i="2" s="1"/>
  <c r="S167" i="2"/>
  <c r="Q222" i="2" l="1"/>
  <c r="Q179" i="2"/>
  <c r="Q195" i="2"/>
  <c r="Z32" i="6" s="1"/>
  <c r="Q177" i="2"/>
  <c r="Q183" i="2" s="1"/>
  <c r="Q184" i="2" s="1"/>
  <c r="Q41" i="13" s="1"/>
  <c r="Q235" i="2"/>
  <c r="P176" i="2"/>
  <c r="U156" i="2"/>
  <c r="U157" i="2" s="1"/>
  <c r="U158" i="2" s="1"/>
  <c r="U159" i="2" s="1"/>
  <c r="T167" i="2"/>
  <c r="Z33" i="6" l="1"/>
  <c r="BF177" i="2"/>
  <c r="BF178" i="2" s="1"/>
  <c r="BF179" i="2" s="1"/>
  <c r="Q185" i="2"/>
  <c r="Q174" i="2"/>
  <c r="Q175" i="2" s="1"/>
  <c r="R182" i="2"/>
  <c r="R178" i="2"/>
  <c r="R179" i="2" s="1"/>
  <c r="Q237" i="2"/>
  <c r="Q239" i="2"/>
  <c r="U167" i="2"/>
  <c r="BG159" i="2"/>
  <c r="V156" i="2"/>
  <c r="Z34" i="6" l="1"/>
  <c r="BF174" i="2"/>
  <c r="R177" i="2"/>
  <c r="R183" i="2" s="1"/>
  <c r="R184" i="2" s="1"/>
  <c r="R41" i="13" s="1"/>
  <c r="R195" i="2"/>
  <c r="AC32" i="6" s="1"/>
  <c r="R235" i="2"/>
  <c r="R220" i="2"/>
  <c r="Q176" i="2"/>
  <c r="BF175" i="2"/>
  <c r="BF176" i="2" s="1"/>
  <c r="Q194" i="2"/>
  <c r="Z31" i="6" s="1"/>
  <c r="AA31" i="6" s="1"/>
  <c r="AB31" i="6" s="1"/>
  <c r="V157" i="2"/>
  <c r="V158" i="2" s="1"/>
  <c r="V159" i="2" s="1"/>
  <c r="R185" i="2" l="1"/>
  <c r="S182" i="2"/>
  <c r="AC34" i="6"/>
  <c r="R224" i="2"/>
  <c r="R222" i="2"/>
  <c r="R237" i="2"/>
  <c r="R239" i="2"/>
  <c r="R174" i="2"/>
  <c r="R175" i="2" s="1"/>
  <c r="S178" i="2"/>
  <c r="W156" i="2"/>
  <c r="W157" i="2" s="1"/>
  <c r="W158" i="2" s="1"/>
  <c r="W159" i="2" s="1"/>
  <c r="W167" i="2" s="1"/>
  <c r="V167" i="2"/>
  <c r="AC33" i="6" l="1"/>
  <c r="S195" i="2"/>
  <c r="AF32" i="6" s="1"/>
  <c r="S179" i="2"/>
  <c r="S235" i="2"/>
  <c r="S220" i="2"/>
  <c r="S177" i="2"/>
  <c r="S183" i="2" s="1"/>
  <c r="S184" i="2" s="1"/>
  <c r="R194" i="2"/>
  <c r="AC31" i="6" s="1"/>
  <c r="AD31" i="6" s="1"/>
  <c r="AE31" i="6" s="1"/>
  <c r="R176" i="2"/>
  <c r="X156" i="2"/>
  <c r="X157" i="2" s="1"/>
  <c r="X158" i="2" s="1"/>
  <c r="X159" i="2" s="1"/>
  <c r="AF34" i="6" l="1"/>
  <c r="S222" i="2"/>
  <c r="S224" i="2"/>
  <c r="S239" i="2"/>
  <c r="S237" i="2"/>
  <c r="T178" i="2"/>
  <c r="T182" i="2"/>
  <c r="S41" i="13"/>
  <c r="S174" i="2"/>
  <c r="S175" i="2" s="1"/>
  <c r="S185" i="2"/>
  <c r="X167" i="2"/>
  <c r="Y156" i="2"/>
  <c r="AF33" i="6" l="1"/>
  <c r="S194" i="2"/>
  <c r="AF31" i="6" s="1"/>
  <c r="AG31" i="6" s="1"/>
  <c r="AH31" i="6" s="1"/>
  <c r="S176" i="2"/>
  <c r="T220" i="2"/>
  <c r="T235" i="2"/>
  <c r="T195" i="2"/>
  <c r="AI32" i="6" s="1"/>
  <c r="T179" i="2"/>
  <c r="T177" i="2"/>
  <c r="T183" i="2" s="1"/>
  <c r="T184" i="2" s="1"/>
  <c r="Y157" i="2"/>
  <c r="Y158" i="2" s="1"/>
  <c r="Y159" i="2" s="1"/>
  <c r="BH159" i="2" s="1"/>
  <c r="AI34" i="6" l="1"/>
  <c r="T174" i="2"/>
  <c r="T175" i="2" s="1"/>
  <c r="T185" i="2"/>
  <c r="T41" i="13"/>
  <c r="U182" i="2"/>
  <c r="U178" i="2"/>
  <c r="T237" i="2"/>
  <c r="T239" i="2"/>
  <c r="T224" i="2"/>
  <c r="T222" i="2"/>
  <c r="Y167" i="2"/>
  <c r="BH167" i="2" s="1"/>
  <c r="Z156" i="2"/>
  <c r="AI33" i="6" l="1"/>
  <c r="U195" i="2"/>
  <c r="AL32" i="6" s="1"/>
  <c r="U179" i="2"/>
  <c r="U235" i="2"/>
  <c r="U177" i="2"/>
  <c r="U220" i="2"/>
  <c r="T194" i="2"/>
  <c r="AI31" i="6" s="1"/>
  <c r="AJ31" i="6" s="1"/>
  <c r="AK31" i="6" s="1"/>
  <c r="T176" i="2"/>
  <c r="Z157" i="2"/>
  <c r="Z158" i="2" s="1"/>
  <c r="Z159" i="2" s="1"/>
  <c r="AL34" i="6" l="1"/>
  <c r="BG177" i="2"/>
  <c r="BG178" i="2" s="1"/>
  <c r="BG179" i="2" s="1"/>
  <c r="U183" i="2"/>
  <c r="U184" i="2" s="1"/>
  <c r="U239" i="2"/>
  <c r="U237" i="2"/>
  <c r="U224" i="2"/>
  <c r="U222" i="2"/>
  <c r="Z167" i="2"/>
  <c r="AA156" i="2"/>
  <c r="AL33" i="6" l="1"/>
  <c r="U185" i="2"/>
  <c r="U41" i="13"/>
  <c r="U174" i="2"/>
  <c r="V182" i="2"/>
  <c r="V178" i="2"/>
  <c r="AA157" i="2"/>
  <c r="AA158" i="2" s="1"/>
  <c r="AA159" i="2" s="1"/>
  <c r="V235" i="2" l="1"/>
  <c r="V179" i="2"/>
  <c r="V177" i="2"/>
  <c r="V183" i="2" s="1"/>
  <c r="V184" i="2" s="1"/>
  <c r="V220" i="2"/>
  <c r="V195" i="2"/>
  <c r="AO32" i="6" s="1"/>
  <c r="BG174" i="2"/>
  <c r="U175" i="2"/>
  <c r="AA167" i="2"/>
  <c r="AB156" i="2"/>
  <c r="AO34" i="6" l="1"/>
  <c r="U194" i="2"/>
  <c r="AL31" i="6" s="1"/>
  <c r="AM31" i="6" s="1"/>
  <c r="AN31" i="6" s="1"/>
  <c r="U176" i="2"/>
  <c r="W182" i="2"/>
  <c r="V185" i="2"/>
  <c r="V174" i="2"/>
  <c r="V175" i="2" s="1"/>
  <c r="V41" i="13"/>
  <c r="W178" i="2"/>
  <c r="V224" i="2"/>
  <c r="V222" i="2"/>
  <c r="V239" i="2"/>
  <c r="V237" i="2"/>
  <c r="AB157" i="2"/>
  <c r="AB158" i="2" s="1"/>
  <c r="AB159" i="2" s="1"/>
  <c r="AO33" i="6" l="1"/>
  <c r="W179" i="2"/>
  <c r="W220" i="2"/>
  <c r="W195" i="2"/>
  <c r="AR32" i="6" s="1"/>
  <c r="W235" i="2"/>
  <c r="W177" i="2"/>
  <c r="W183" i="2" s="1"/>
  <c r="W184" i="2" s="1"/>
  <c r="V194" i="2"/>
  <c r="AO31" i="6" s="1"/>
  <c r="AP31" i="6" s="1"/>
  <c r="AQ31" i="6" s="1"/>
  <c r="V176" i="2"/>
  <c r="AB167" i="2"/>
  <c r="AC156" i="2"/>
  <c r="AR34" i="6" l="1"/>
  <c r="W239" i="2"/>
  <c r="W237" i="2"/>
  <c r="W222" i="2"/>
  <c r="W224" i="2"/>
  <c r="W41" i="13"/>
  <c r="X178" i="2"/>
  <c r="W185" i="2"/>
  <c r="X182" i="2"/>
  <c r="W174" i="2"/>
  <c r="W175" i="2" s="1"/>
  <c r="AC157" i="2"/>
  <c r="AC158" i="2" s="1"/>
  <c r="AC159" i="2" s="1"/>
  <c r="AR33" i="6" l="1"/>
  <c r="X177" i="2"/>
  <c r="X183" i="2" s="1"/>
  <c r="X184" i="2" s="1"/>
  <c r="X195" i="2"/>
  <c r="AU32" i="6" s="1"/>
  <c r="X179" i="2"/>
  <c r="X220" i="2"/>
  <c r="X235" i="2"/>
  <c r="W194" i="2"/>
  <c r="AR31" i="6" s="1"/>
  <c r="AS31" i="6" s="1"/>
  <c r="AT31" i="6" s="1"/>
  <c r="W176" i="2"/>
  <c r="AD156" i="2"/>
  <c r="AD157" i="2" s="1"/>
  <c r="AD158" i="2" s="1"/>
  <c r="AD159" i="2" s="1"/>
  <c r="AC167" i="2"/>
  <c r="AU34" i="6" l="1"/>
  <c r="X224" i="2"/>
  <c r="X222" i="2"/>
  <c r="X239" i="2"/>
  <c r="X237" i="2"/>
  <c r="Y178" i="2"/>
  <c r="Y182" i="2"/>
  <c r="X41" i="13"/>
  <c r="X174" i="2"/>
  <c r="X175" i="2" s="1"/>
  <c r="X185" i="2"/>
  <c r="AD167" i="2"/>
  <c r="AE156" i="2"/>
  <c r="AU33" i="6" l="1"/>
  <c r="Y235" i="2"/>
  <c r="Y177" i="2"/>
  <c r="Y220" i="2"/>
  <c r="Y195" i="2"/>
  <c r="AX32" i="6" s="1"/>
  <c r="Y179" i="2"/>
  <c r="X176" i="2"/>
  <c r="X194" i="2"/>
  <c r="AU31" i="6" s="1"/>
  <c r="AV31" i="6" s="1"/>
  <c r="AW31" i="6" s="1"/>
  <c r="AE157" i="2"/>
  <c r="AE158" i="2" s="1"/>
  <c r="AE159" i="2" s="1"/>
  <c r="AX34" i="6" l="1"/>
  <c r="Y222" i="2"/>
  <c r="Y224" i="2"/>
  <c r="BH177" i="2"/>
  <c r="BH178" i="2" s="1"/>
  <c r="BH179" i="2" s="1"/>
  <c r="Y183" i="2"/>
  <c r="Y184" i="2" s="1"/>
  <c r="Y237" i="2"/>
  <c r="Y239" i="2"/>
  <c r="AE167" i="2"/>
  <c r="AF156" i="2"/>
  <c r="AX33" i="6" l="1"/>
  <c r="Y41" i="13"/>
  <c r="Z182" i="2"/>
  <c r="Y185" i="2"/>
  <c r="Y174" i="2"/>
  <c r="Z178" i="2"/>
  <c r="AF157" i="2"/>
  <c r="AF158" i="2" s="1"/>
  <c r="AF159" i="2" s="1"/>
  <c r="Z195" i="2" l="1"/>
  <c r="BA32" i="6" s="1"/>
  <c r="Z179" i="2"/>
  <c r="Z177" i="2"/>
  <c r="Z183" i="2" s="1"/>
  <c r="Z184" i="2" s="1"/>
  <c r="Z220" i="2"/>
  <c r="Z235" i="2"/>
  <c r="BH174" i="2"/>
  <c r="Y175" i="2"/>
  <c r="AG156" i="2"/>
  <c r="AG157" i="2" s="1"/>
  <c r="AG158" i="2" s="1"/>
  <c r="AG159" i="2" s="1"/>
  <c r="AG167" i="2" s="1"/>
  <c r="AF167" i="2"/>
  <c r="BJ167" i="2" l="1"/>
  <c r="BA33" i="6"/>
  <c r="Z239" i="2"/>
  <c r="Z237" i="2"/>
  <c r="Z224" i="2"/>
  <c r="Z222" i="2"/>
  <c r="Y194" i="2"/>
  <c r="AX31" i="6" s="1"/>
  <c r="AY31" i="6" s="1"/>
  <c r="AZ31" i="6" s="1"/>
  <c r="Y176" i="2"/>
  <c r="Z174" i="2"/>
  <c r="Z175" i="2" s="1"/>
  <c r="Z185" i="2"/>
  <c r="AA182" i="2"/>
  <c r="AA178" i="2"/>
  <c r="AH156" i="2"/>
  <c r="BA34" i="6" l="1"/>
  <c r="AA220" i="2"/>
  <c r="AA195" i="2"/>
  <c r="BD32" i="6" s="1"/>
  <c r="AA179" i="2"/>
  <c r="AA235" i="2"/>
  <c r="AA177" i="2"/>
  <c r="AA183" i="2" s="1"/>
  <c r="AA184" i="2" s="1"/>
  <c r="Z176" i="2"/>
  <c r="Z194" i="2"/>
  <c r="BA31" i="6" s="1"/>
  <c r="BB31" i="6" s="1"/>
  <c r="BC31" i="6" s="1"/>
  <c r="AH157" i="2"/>
  <c r="AH158" i="2" s="1"/>
  <c r="AH159" i="2" s="1"/>
  <c r="BD33" i="6" l="1"/>
  <c r="AB178" i="2"/>
  <c r="AA185" i="2"/>
  <c r="AB182" i="2"/>
  <c r="AA174" i="2"/>
  <c r="AA175" i="2" s="1"/>
  <c r="AA224" i="2"/>
  <c r="AA222" i="2"/>
  <c r="AA239" i="2"/>
  <c r="AA237" i="2"/>
  <c r="AH167" i="2"/>
  <c r="AI156" i="2"/>
  <c r="BD34" i="6" l="1"/>
  <c r="AA194" i="2"/>
  <c r="BD31" i="6" s="1"/>
  <c r="BE31" i="6" s="1"/>
  <c r="BF31" i="6" s="1"/>
  <c r="AA176" i="2"/>
  <c r="AB235" i="2"/>
  <c r="AB195" i="2"/>
  <c r="BG32" i="6" s="1"/>
  <c r="AB177" i="2"/>
  <c r="AB220" i="2"/>
  <c r="AB179" i="2"/>
  <c r="AI157" i="2"/>
  <c r="AI158" i="2" s="1"/>
  <c r="AI159" i="2" s="1"/>
  <c r="BG34" i="6" l="1"/>
  <c r="AB239" i="2"/>
  <c r="AB237" i="2"/>
  <c r="AB222" i="2"/>
  <c r="AB224" i="2"/>
  <c r="AB183" i="2"/>
  <c r="AB184" i="2" s="1"/>
  <c r="AI167" i="2"/>
  <c r="AJ156" i="2"/>
  <c r="BG33" i="6" l="1"/>
  <c r="AC178" i="2"/>
  <c r="AB185" i="2"/>
  <c r="AB174" i="2"/>
  <c r="AC182" i="2"/>
  <c r="AJ157" i="2"/>
  <c r="AJ158" i="2" s="1"/>
  <c r="AJ159" i="2" s="1"/>
  <c r="AB175" i="2" l="1"/>
  <c r="AC235" i="2"/>
  <c r="AC179" i="2"/>
  <c r="AC195" i="2"/>
  <c r="BJ32" i="6" s="1"/>
  <c r="AC177" i="2"/>
  <c r="AC220" i="2"/>
  <c r="AK156" i="2"/>
  <c r="AJ167" i="2"/>
  <c r="BJ34" i="6" l="1"/>
  <c r="AC239" i="2"/>
  <c r="AC237" i="2"/>
  <c r="AC183" i="2"/>
  <c r="AC184" i="2" s="1"/>
  <c r="BI177" i="2"/>
  <c r="BI178" i="2" s="1"/>
  <c r="BI179" i="2" s="1"/>
  <c r="AC222" i="2"/>
  <c r="AC224" i="2"/>
  <c r="AB176" i="2"/>
  <c r="AB194" i="2"/>
  <c r="BG31" i="6" s="1"/>
  <c r="BH31" i="6" s="1"/>
  <c r="BI31" i="6" s="1"/>
  <c r="AK157" i="2"/>
  <c r="AK158" i="2" s="1"/>
  <c r="AK159" i="2" s="1"/>
  <c r="AD182" i="2" l="1"/>
  <c r="AD178" i="2"/>
  <c r="AC174" i="2"/>
  <c r="AC185" i="2"/>
  <c r="AL156" i="2"/>
  <c r="AL157" i="2" s="1"/>
  <c r="AL158" i="2" s="1"/>
  <c r="AL159" i="2" s="1"/>
  <c r="AK167" i="2"/>
  <c r="AC175" i="2" l="1"/>
  <c r="BI174" i="2"/>
  <c r="AD177" i="2"/>
  <c r="AD183" i="2" s="1"/>
  <c r="AD184" i="2" s="1"/>
  <c r="AD220" i="2"/>
  <c r="AD235" i="2"/>
  <c r="AD179" i="2"/>
  <c r="AD195" i="2"/>
  <c r="BM32" i="6" s="1"/>
  <c r="AL167" i="2"/>
  <c r="AM156" i="2"/>
  <c r="BM34" i="6" l="1"/>
  <c r="AD224" i="2"/>
  <c r="AD222" i="2"/>
  <c r="AD174" i="2"/>
  <c r="AD175" i="2" s="1"/>
  <c r="AE178" i="2"/>
  <c r="AD185" i="2"/>
  <c r="AE182" i="2"/>
  <c r="AD239" i="2"/>
  <c r="AD237" i="2"/>
  <c r="AC176" i="2"/>
  <c r="AC194" i="2"/>
  <c r="BJ31" i="6" s="1"/>
  <c r="BK31" i="6" s="1"/>
  <c r="BL31" i="6" s="1"/>
  <c r="AM157" i="2"/>
  <c r="AM158" i="2" s="1"/>
  <c r="AM159" i="2" s="1"/>
  <c r="BM33" i="6" l="1"/>
  <c r="AE195" i="2"/>
  <c r="BP32" i="6" s="1"/>
  <c r="AE177" i="2"/>
  <c r="AE220" i="2"/>
  <c r="AE235" i="2"/>
  <c r="AE179" i="2"/>
  <c r="AD194" i="2"/>
  <c r="BM31" i="6" s="1"/>
  <c r="BN31" i="6" s="1"/>
  <c r="BO31" i="6" s="1"/>
  <c r="AD176" i="2"/>
  <c r="AN156" i="2"/>
  <c r="AM167" i="2"/>
  <c r="BP34" i="6" l="1"/>
  <c r="AE239" i="2"/>
  <c r="AE237" i="2"/>
  <c r="AE222" i="2"/>
  <c r="AE224" i="2"/>
  <c r="AE183" i="2"/>
  <c r="AE184" i="2" s="1"/>
  <c r="AN157" i="2"/>
  <c r="AN158" i="2" s="1"/>
  <c r="AN159" i="2" s="1"/>
  <c r="BP33" i="6" l="1"/>
  <c r="AF182" i="2"/>
  <c r="AE185" i="2"/>
  <c r="AE174" i="2"/>
  <c r="AF178" i="2"/>
  <c r="AO156" i="2"/>
  <c r="AO157" i="2" s="1"/>
  <c r="AO158" i="2" s="1"/>
  <c r="AO159" i="2" s="1"/>
  <c r="AO167" i="2" s="1"/>
  <c r="AN167" i="2"/>
  <c r="BL167" i="2" l="1"/>
  <c r="AF220" i="2"/>
  <c r="AF179" i="2"/>
  <c r="AF195" i="2"/>
  <c r="BS32" i="6" s="1"/>
  <c r="AF177" i="2"/>
  <c r="AF235" i="2"/>
  <c r="AE175" i="2"/>
  <c r="AP156" i="2"/>
  <c r="AP157" i="2" s="1"/>
  <c r="AP158" i="2" s="1"/>
  <c r="AP159" i="2" s="1"/>
  <c r="BS33" i="6" l="1"/>
  <c r="AF239" i="2"/>
  <c r="AF237" i="2"/>
  <c r="AF183" i="2"/>
  <c r="AF184" i="2" s="1"/>
  <c r="AE194" i="2"/>
  <c r="BP31" i="6" s="1"/>
  <c r="BQ31" i="6" s="1"/>
  <c r="BR31" i="6" s="1"/>
  <c r="AE176" i="2"/>
  <c r="AF224" i="2"/>
  <c r="AF222" i="2"/>
  <c r="AP167" i="2"/>
  <c r="AQ156" i="2"/>
  <c r="BS34" i="6" l="1"/>
  <c r="AG182" i="2"/>
  <c r="AF174" i="2"/>
  <c r="AF185" i="2"/>
  <c r="AG178" i="2"/>
  <c r="AQ157" i="2"/>
  <c r="AQ158" i="2" s="1"/>
  <c r="AQ159" i="2" s="1"/>
  <c r="AF175" i="2" l="1"/>
  <c r="AG179" i="2"/>
  <c r="AG195" i="2"/>
  <c r="BV32" i="6" s="1"/>
  <c r="AG235" i="2"/>
  <c r="AG177" i="2"/>
  <c r="AG220" i="2"/>
  <c r="AR156" i="2"/>
  <c r="AQ167" i="2"/>
  <c r="BV34" i="6" l="1"/>
  <c r="AG183" i="2"/>
  <c r="AG184" i="2" s="1"/>
  <c r="BJ177" i="2"/>
  <c r="BJ178" i="2" s="1"/>
  <c r="BJ179" i="2" s="1"/>
  <c r="AG237" i="2"/>
  <c r="AG239" i="2"/>
  <c r="AF176" i="2"/>
  <c r="AF194" i="2"/>
  <c r="BS31" i="6" s="1"/>
  <c r="BT31" i="6" s="1"/>
  <c r="BU31" i="6" s="1"/>
  <c r="AG222" i="2"/>
  <c r="AG224" i="2"/>
  <c r="AR157" i="2"/>
  <c r="AR158" i="2" s="1"/>
  <c r="AR159" i="2" s="1"/>
  <c r="BV33" i="6" l="1"/>
  <c r="AG174" i="2"/>
  <c r="AH182" i="2"/>
  <c r="AH178" i="2"/>
  <c r="AG185" i="2"/>
  <c r="AS156" i="2"/>
  <c r="AS157" i="2" s="1"/>
  <c r="AS158" i="2" s="1"/>
  <c r="AS159" i="2" s="1"/>
  <c r="AS167" i="2" s="1"/>
  <c r="AR167" i="2"/>
  <c r="AG175" i="2" l="1"/>
  <c r="BJ174" i="2"/>
  <c r="AH179" i="2"/>
  <c r="AH195" i="2"/>
  <c r="BY32" i="6" s="1"/>
  <c r="AH235" i="2"/>
  <c r="AH177" i="2"/>
  <c r="AH220" i="2"/>
  <c r="BM167" i="2"/>
  <c r="BM159" i="2"/>
  <c r="AT156" i="2"/>
  <c r="BY33" i="6" l="1"/>
  <c r="AH183" i="2"/>
  <c r="AH184" i="2" s="1"/>
  <c r="AH239" i="2"/>
  <c r="AH237" i="2"/>
  <c r="AG176" i="2"/>
  <c r="AG194" i="2"/>
  <c r="BV31" i="6" s="1"/>
  <c r="BW31" i="6" s="1"/>
  <c r="BX31" i="6" s="1"/>
  <c r="AH224" i="2"/>
  <c r="AH222" i="2"/>
  <c r="AT157" i="2"/>
  <c r="AT158" i="2" s="1"/>
  <c r="AT159" i="2" s="1"/>
  <c r="BY34" i="6" l="1"/>
  <c r="AI178" i="2"/>
  <c r="AH185" i="2"/>
  <c r="AH174" i="2"/>
  <c r="AI182" i="2"/>
  <c r="AU156" i="2"/>
  <c r="AU157" i="2" s="1"/>
  <c r="AU158" i="2" s="1"/>
  <c r="AU159" i="2" s="1"/>
  <c r="AT167" i="2"/>
  <c r="AI177" i="2" l="1"/>
  <c r="AI179" i="2"/>
  <c r="AI235" i="2"/>
  <c r="AI220" i="2"/>
  <c r="AI195" i="2"/>
  <c r="CB32" i="6" s="1"/>
  <c r="AH175" i="2"/>
  <c r="AU167" i="2"/>
  <c r="AV156" i="2"/>
  <c r="CB33" i="6" l="1"/>
  <c r="AH194" i="2"/>
  <c r="BY31" i="6" s="1"/>
  <c r="BZ31" i="6" s="1"/>
  <c r="CA31" i="6" s="1"/>
  <c r="AH176" i="2"/>
  <c r="AI183" i="2"/>
  <c r="AI184" i="2" s="1"/>
  <c r="AI222" i="2"/>
  <c r="AI224" i="2"/>
  <c r="AI239" i="2"/>
  <c r="AI237" i="2"/>
  <c r="AV157" i="2"/>
  <c r="AV158" i="2" s="1"/>
  <c r="AV159" i="2" s="1"/>
  <c r="CB34" i="6" l="1"/>
  <c r="AJ178" i="2"/>
  <c r="AJ182" i="2"/>
  <c r="AI174" i="2"/>
  <c r="AI185" i="2"/>
  <c r="AV167" i="2"/>
  <c r="AW156" i="2"/>
  <c r="AW157" i="2" s="1"/>
  <c r="AW158" i="2" s="1"/>
  <c r="AW159" i="2" s="1"/>
  <c r="AW167" i="2" s="1"/>
  <c r="AI175" i="2" l="1"/>
  <c r="AJ195" i="2"/>
  <c r="CE32" i="6" s="1"/>
  <c r="AJ235" i="2"/>
  <c r="AJ179" i="2"/>
  <c r="AJ220" i="2"/>
  <c r="AJ177" i="2"/>
  <c r="BN159" i="2"/>
  <c r="BN167" i="2"/>
  <c r="AX156" i="2"/>
  <c r="CE34" i="6" l="1"/>
  <c r="AJ224" i="2"/>
  <c r="AJ222" i="2"/>
  <c r="AJ237" i="2"/>
  <c r="AJ239" i="2"/>
  <c r="AJ183" i="2"/>
  <c r="AJ184" i="2" s="1"/>
  <c r="AI194" i="2"/>
  <c r="CB31" i="6" s="1"/>
  <c r="CC31" i="6" s="1"/>
  <c r="CD31" i="6" s="1"/>
  <c r="AI176" i="2"/>
  <c r="AX157" i="2"/>
  <c r="AX158" i="2" s="1"/>
  <c r="AX159" i="2" s="1"/>
  <c r="AX167" i="2" s="1"/>
  <c r="CE33" i="6" l="1"/>
  <c r="AK182" i="2"/>
  <c r="AK178" i="2"/>
  <c r="AJ174" i="2"/>
  <c r="AJ185" i="2"/>
  <c r="AY156" i="2"/>
  <c r="AJ175" i="2" l="1"/>
  <c r="AK235" i="2"/>
  <c r="AK195" i="2"/>
  <c r="CH32" i="6" s="1"/>
  <c r="AK220" i="2"/>
  <c r="AK177" i="2"/>
  <c r="AK179" i="2"/>
  <c r="AY157" i="2"/>
  <c r="AY158" i="2" s="1"/>
  <c r="AY159" i="2" s="1"/>
  <c r="AY167" i="2" s="1"/>
  <c r="CH33" i="6" l="1"/>
  <c r="AK183" i="2"/>
  <c r="AK184" i="2" s="1"/>
  <c r="BK177" i="2"/>
  <c r="BK178" i="2" s="1"/>
  <c r="BK179" i="2" s="1"/>
  <c r="AK222" i="2"/>
  <c r="AK224" i="2"/>
  <c r="AJ176" i="2"/>
  <c r="AJ194" i="2"/>
  <c r="CE31" i="6" s="1"/>
  <c r="CF31" i="6" s="1"/>
  <c r="CG31" i="6" s="1"/>
  <c r="AK239" i="2"/>
  <c r="AK237" i="2"/>
  <c r="AZ156" i="2"/>
  <c r="AZ157" i="2" s="1"/>
  <c r="AZ158" i="2" s="1"/>
  <c r="AZ159" i="2" s="1"/>
  <c r="AZ167" i="2" s="1"/>
  <c r="CH34" i="6" l="1"/>
  <c r="AL178" i="2"/>
  <c r="AK174" i="2"/>
  <c r="AL182" i="2"/>
  <c r="AK185" i="2"/>
  <c r="BA156" i="2"/>
  <c r="BA157" i="2" s="1"/>
  <c r="BA158" i="2" s="1"/>
  <c r="BA159" i="2" s="1"/>
  <c r="BA167" i="2" s="1"/>
  <c r="AK175" i="2" l="1"/>
  <c r="BK174" i="2"/>
  <c r="AL235" i="2"/>
  <c r="AL179" i="2"/>
  <c r="AL177" i="2"/>
  <c r="AL195" i="2"/>
  <c r="CK32" i="6" s="1"/>
  <c r="AL220" i="2"/>
  <c r="BB156" i="2"/>
  <c r="BB157" i="2" s="1"/>
  <c r="BB158" i="2" s="1"/>
  <c r="BB159" i="2" s="1"/>
  <c r="CK34" i="6" l="1"/>
  <c r="AL224" i="2"/>
  <c r="AL222" i="2"/>
  <c r="AL239" i="2"/>
  <c r="AL237" i="2"/>
  <c r="AL183" i="2"/>
  <c r="AL184" i="2" s="1"/>
  <c r="AK176" i="2"/>
  <c r="AK194" i="2"/>
  <c r="CH31" i="6" s="1"/>
  <c r="CI31" i="6" s="1"/>
  <c r="CJ31" i="6" s="1"/>
  <c r="BB167" i="2"/>
  <c r="BE159" i="2"/>
  <c r="BI159" i="2"/>
  <c r="BJ159" i="2"/>
  <c r="BK159" i="2"/>
  <c r="BL159" i="2"/>
  <c r="CK33" i="6" l="1"/>
  <c r="AL174" i="2"/>
  <c r="AM182" i="2"/>
  <c r="AL185" i="2"/>
  <c r="AM178" i="2"/>
  <c r="BG167" i="2"/>
  <c r="BI167" i="2"/>
  <c r="BK167" i="2"/>
  <c r="AM195" i="2" l="1"/>
  <c r="CN32" i="6" s="1"/>
  <c r="AM179" i="2"/>
  <c r="AM220" i="2"/>
  <c r="AM177" i="2"/>
  <c r="AM235" i="2"/>
  <c r="AL175" i="2"/>
  <c r="CN34" i="6" l="1"/>
  <c r="AM183" i="2"/>
  <c r="AM184" i="2" s="1"/>
  <c r="AM224" i="2"/>
  <c r="AM222" i="2"/>
  <c r="AL176" i="2"/>
  <c r="AL194" i="2"/>
  <c r="CK31" i="6" s="1"/>
  <c r="CL31" i="6" s="1"/>
  <c r="CM31" i="6" s="1"/>
  <c r="AM239" i="2"/>
  <c r="AM237" i="2"/>
  <c r="CN33" i="6" l="1"/>
  <c r="AN178" i="2"/>
  <c r="AN182" i="2"/>
  <c r="AM174" i="2"/>
  <c r="AM185" i="2"/>
  <c r="AM175" i="2" l="1"/>
  <c r="AN220" i="2"/>
  <c r="AN235" i="2"/>
  <c r="AN179" i="2"/>
  <c r="AN195" i="2"/>
  <c r="CQ32" i="6" s="1"/>
  <c r="AN177" i="2"/>
  <c r="CQ33" i="6" l="1"/>
  <c r="AN239" i="2"/>
  <c r="AN237" i="2"/>
  <c r="AN183" i="2"/>
  <c r="AN184" i="2" s="1"/>
  <c r="AN224" i="2"/>
  <c r="AN222" i="2"/>
  <c r="AM176" i="2"/>
  <c r="AM194" i="2"/>
  <c r="CN31" i="6" s="1"/>
  <c r="CO31" i="6" s="1"/>
  <c r="CP31" i="6" s="1"/>
  <c r="CQ34" i="6" l="1"/>
  <c r="AO182" i="2"/>
  <c r="AN185" i="2"/>
  <c r="AN174" i="2"/>
  <c r="AO178" i="2"/>
  <c r="AO177" i="2" l="1"/>
  <c r="AO179" i="2"/>
  <c r="AO220" i="2"/>
  <c r="AO195" i="2"/>
  <c r="CT32" i="6" s="1"/>
  <c r="AO235" i="2"/>
  <c r="AN175" i="2"/>
  <c r="CT34" i="6" l="1"/>
  <c r="AO222" i="2"/>
  <c r="AO224" i="2"/>
  <c r="AN176" i="2"/>
  <c r="AN194" i="2"/>
  <c r="CQ31" i="6" s="1"/>
  <c r="CR31" i="6" s="1"/>
  <c r="CS31" i="6" s="1"/>
  <c r="AO239" i="2"/>
  <c r="AO237" i="2"/>
  <c r="AO183" i="2"/>
  <c r="AO184" i="2" s="1"/>
  <c r="BL177" i="2"/>
  <c r="BL178" i="2" s="1"/>
  <c r="BL179" i="2" s="1"/>
  <c r="CT33" i="6" l="1"/>
  <c r="AO185" i="2"/>
  <c r="AP178" i="2"/>
  <c r="AP182" i="2"/>
  <c r="AO174" i="2"/>
  <c r="AP195" i="2" l="1"/>
  <c r="CW32" i="6" s="1"/>
  <c r="AP220" i="2"/>
  <c r="AP235" i="2"/>
  <c r="AP177" i="2"/>
  <c r="AP179" i="2"/>
  <c r="AO175" i="2"/>
  <c r="BL175" i="2" s="1"/>
  <c r="BL174" i="2"/>
  <c r="BG175" i="2"/>
  <c r="BG176" i="2" s="1"/>
  <c r="BH175" i="2"/>
  <c r="BI175" i="2"/>
  <c r="BJ175" i="2"/>
  <c r="BK175" i="2"/>
  <c r="BJ176" i="2" l="1"/>
  <c r="CW34" i="6"/>
  <c r="BK176" i="2"/>
  <c r="BI176" i="2"/>
  <c r="AP183" i="2"/>
  <c r="AP184" i="2" s="1"/>
  <c r="AP237" i="2"/>
  <c r="AP239" i="2"/>
  <c r="BL176" i="2"/>
  <c r="BH176" i="2"/>
  <c r="AO194" i="2"/>
  <c r="CT31" i="6" s="1"/>
  <c r="CU31" i="6" s="1"/>
  <c r="CV31" i="6" s="1"/>
  <c r="AO176" i="2"/>
  <c r="AP222" i="2"/>
  <c r="AP224" i="2"/>
  <c r="CW33" i="6" l="1"/>
  <c r="AQ182" i="2"/>
  <c r="AP174" i="2"/>
  <c r="AQ178" i="2"/>
  <c r="AP185" i="2"/>
  <c r="AQ220" i="2" l="1"/>
  <c r="AQ177" i="2"/>
  <c r="AQ179" i="2"/>
  <c r="AQ195" i="2"/>
  <c r="CZ32" i="6" s="1"/>
  <c r="AQ235" i="2"/>
  <c r="AP175" i="2"/>
  <c r="CZ33" i="6" l="1"/>
  <c r="AP176" i="2"/>
  <c r="AP194" i="2"/>
  <c r="CW31" i="6" s="1"/>
  <c r="CX31" i="6" s="1"/>
  <c r="CY31" i="6" s="1"/>
  <c r="AQ183" i="2"/>
  <c r="AQ184" i="2" s="1"/>
  <c r="AQ239" i="2"/>
  <c r="AQ237" i="2"/>
  <c r="AQ224" i="2"/>
  <c r="AQ222" i="2"/>
  <c r="CZ34" i="6" l="1"/>
  <c r="AQ174" i="2"/>
  <c r="AQ185" i="2"/>
  <c r="AR182" i="2"/>
  <c r="AR178" i="2"/>
  <c r="AQ175" i="2" l="1"/>
  <c r="AR235" i="2"/>
  <c r="AR195" i="2"/>
  <c r="DC32" i="6" s="1"/>
  <c r="AR179" i="2"/>
  <c r="AR220" i="2"/>
  <c r="AR177" i="2"/>
  <c r="DC34" i="6" l="1"/>
  <c r="AQ194" i="2"/>
  <c r="CZ31" i="6" s="1"/>
  <c r="DA31" i="6" s="1"/>
  <c r="DB31" i="6" s="1"/>
  <c r="AQ176" i="2"/>
  <c r="AR183" i="2"/>
  <c r="AR184" i="2" s="1"/>
  <c r="AR237" i="2"/>
  <c r="AR239" i="2"/>
  <c r="AR222" i="2"/>
  <c r="AR224" i="2"/>
  <c r="DC33" i="6" l="1"/>
  <c r="AR174" i="2"/>
  <c r="AR185" i="2"/>
  <c r="AS182" i="2"/>
  <c r="AS178" i="2"/>
  <c r="BE177" i="2"/>
  <c r="BE178" i="2" s="1"/>
  <c r="BE179" i="2" s="1"/>
  <c r="C39" i="6"/>
  <c r="DQ34" i="6"/>
  <c r="AS220" i="2" l="1"/>
  <c r="AS177" i="2"/>
  <c r="AS179" i="2"/>
  <c r="AS235" i="2"/>
  <c r="AS195" i="2"/>
  <c r="DF32" i="6" s="1"/>
  <c r="AR175" i="2"/>
  <c r="C34" i="6"/>
  <c r="C40" i="6"/>
  <c r="F40" i="6"/>
  <c r="E40" i="6"/>
  <c r="I40" i="6"/>
  <c r="H40" i="6"/>
  <c r="G40" i="6"/>
  <c r="J40" i="6"/>
  <c r="D40" i="6"/>
  <c r="D39" i="6"/>
  <c r="CX33" i="6"/>
  <c r="CX34" i="6"/>
  <c r="DP33" i="6"/>
  <c r="DP34" i="6"/>
  <c r="DJ33" i="6"/>
  <c r="DJ34" i="6"/>
  <c r="DD33" i="6"/>
  <c r="DD34" i="6"/>
  <c r="DA33" i="6"/>
  <c r="DA34" i="6"/>
  <c r="DB33" i="6"/>
  <c r="DB34" i="6"/>
  <c r="I33" i="6"/>
  <c r="I34" i="6"/>
  <c r="J33" i="6"/>
  <c r="J34" i="6"/>
  <c r="AJ33" i="6"/>
  <c r="AJ34" i="6"/>
  <c r="AY33" i="6"/>
  <c r="AY34" i="6"/>
  <c r="BO33" i="6"/>
  <c r="BO34" i="6"/>
  <c r="CA33" i="6"/>
  <c r="CA34" i="6"/>
  <c r="CF33" i="6"/>
  <c r="CF34" i="6"/>
  <c r="BN34" i="6"/>
  <c r="BN33" i="6"/>
  <c r="AV33" i="6"/>
  <c r="AV34" i="6"/>
  <c r="BQ33" i="6"/>
  <c r="BQ34" i="6"/>
  <c r="BR33" i="6"/>
  <c r="BR34" i="6"/>
  <c r="BU33" i="6"/>
  <c r="BU34" i="6"/>
  <c r="CG33" i="6"/>
  <c r="CG34" i="6"/>
  <c r="AN33" i="6"/>
  <c r="AN34" i="6"/>
  <c r="AB33" i="6"/>
  <c r="AB34" i="6"/>
  <c r="DK33" i="6"/>
  <c r="DK34" i="6"/>
  <c r="DE33" i="6"/>
  <c r="DE34" i="6"/>
  <c r="CY33" i="6"/>
  <c r="CY34" i="6"/>
  <c r="F33" i="6"/>
  <c r="F34" i="6"/>
  <c r="S33" i="6"/>
  <c r="S34" i="6"/>
  <c r="BI33" i="6"/>
  <c r="BI34" i="6"/>
  <c r="BW33" i="6"/>
  <c r="BW34" i="6"/>
  <c r="BH34" i="6"/>
  <c r="BH33" i="6"/>
  <c r="BB34" i="6"/>
  <c r="BB33" i="6"/>
  <c r="CP33" i="6"/>
  <c r="CP34" i="6"/>
  <c r="AS34" i="6"/>
  <c r="AS33" i="6"/>
  <c r="BE33" i="6"/>
  <c r="BE34" i="6"/>
  <c r="AD33" i="6"/>
  <c r="AD34" i="6"/>
  <c r="AP33" i="6"/>
  <c r="AP34" i="6"/>
  <c r="Y33" i="6"/>
  <c r="Y34" i="6"/>
  <c r="Q33" i="6"/>
  <c r="Q34" i="6"/>
  <c r="BX33" i="6"/>
  <c r="BX34" i="6"/>
  <c r="BF33" i="6"/>
  <c r="BF34" i="6"/>
  <c r="BL33" i="6"/>
  <c r="BL34" i="6"/>
  <c r="DH33" i="6"/>
  <c r="DH34" i="6"/>
  <c r="CM33" i="6"/>
  <c r="CM34" i="6"/>
  <c r="R33" i="6"/>
  <c r="R34" i="6"/>
  <c r="AQ33" i="6"/>
  <c r="AQ34" i="6"/>
  <c r="BC33" i="6"/>
  <c r="BC34" i="6"/>
  <c r="BK33" i="6"/>
  <c r="BK34" i="6"/>
  <c r="AA33" i="6"/>
  <c r="AA34" i="6"/>
  <c r="L33" i="6"/>
  <c r="L34" i="6"/>
  <c r="AE33" i="6"/>
  <c r="AE34" i="6"/>
  <c r="CC33" i="6"/>
  <c r="CC34" i="6"/>
  <c r="BT33" i="6"/>
  <c r="BT34" i="6"/>
  <c r="CS33" i="6"/>
  <c r="CS34" i="6"/>
  <c r="M33" i="6"/>
  <c r="M34" i="6"/>
  <c r="AZ33" i="6"/>
  <c r="AZ34" i="6"/>
  <c r="AW33" i="6"/>
  <c r="AW34" i="6"/>
  <c r="AT33" i="6"/>
  <c r="AT34" i="6"/>
  <c r="AK33" i="6"/>
  <c r="AK34" i="6"/>
  <c r="CJ33" i="6"/>
  <c r="CJ34" i="6"/>
  <c r="DQ33" i="6"/>
  <c r="DN33" i="6"/>
  <c r="DN34" i="6"/>
  <c r="DM33" i="6"/>
  <c r="DM34" i="6"/>
  <c r="DG33" i="6"/>
  <c r="DG34" i="6"/>
  <c r="CU33" i="6"/>
  <c r="CU34" i="6"/>
  <c r="CR33" i="6"/>
  <c r="CR34" i="6"/>
  <c r="CO33" i="6"/>
  <c r="CO34" i="6"/>
  <c r="CI33" i="6"/>
  <c r="CI34" i="6"/>
  <c r="AG33" i="6"/>
  <c r="AG34" i="6"/>
  <c r="AM33" i="6"/>
  <c r="AM34" i="6"/>
  <c r="U33" i="6"/>
  <c r="U34" i="6"/>
  <c r="X33" i="6"/>
  <c r="X34" i="6"/>
  <c r="BZ33" i="6"/>
  <c r="BZ34" i="6"/>
  <c r="D33" i="6"/>
  <c r="D34" i="6"/>
  <c r="G33" i="6"/>
  <c r="G34" i="6"/>
  <c r="O33" i="6"/>
  <c r="O34" i="6"/>
  <c r="CV33" i="6"/>
  <c r="CV34" i="6"/>
  <c r="V33" i="6"/>
  <c r="V34" i="6"/>
  <c r="AH33" i="6"/>
  <c r="AH34" i="6"/>
  <c r="N33" i="6"/>
  <c r="N34" i="6"/>
  <c r="CD33" i="6"/>
  <c r="CD34" i="6"/>
  <c r="P33" i="6"/>
  <c r="P34" i="6"/>
  <c r="CL33" i="6"/>
  <c r="CL34" i="6"/>
  <c r="K20" i="6" l="1"/>
  <c r="AS237" i="2"/>
  <c r="AS239" i="2"/>
  <c r="AR176" i="2"/>
  <c r="AR194" i="2"/>
  <c r="DC31" i="6" s="1"/>
  <c r="DD31" i="6" s="1"/>
  <c r="DE31" i="6" s="1"/>
  <c r="AS183" i="2"/>
  <c r="AS184" i="2" s="1"/>
  <c r="BM177" i="2"/>
  <c r="BM178" i="2" s="1"/>
  <c r="BM179" i="2" s="1"/>
  <c r="AS224" i="2"/>
  <c r="AS222" i="2"/>
  <c r="E39" i="6"/>
  <c r="K40" i="6" l="1"/>
  <c r="DF33" i="6"/>
  <c r="DF34" i="6"/>
  <c r="AT182" i="2"/>
  <c r="AS185" i="2"/>
  <c r="AT178" i="2"/>
  <c r="AS174" i="2"/>
  <c r="F39" i="6"/>
  <c r="AS175" i="2" l="1"/>
  <c r="BM174" i="2"/>
  <c r="AT195" i="2"/>
  <c r="DI32" i="6" s="1"/>
  <c r="AT179" i="2"/>
  <c r="AT177" i="2"/>
  <c r="AT220" i="2"/>
  <c r="AT235" i="2"/>
  <c r="G39" i="6" l="1"/>
  <c r="BJ33" i="6"/>
  <c r="AT239" i="2"/>
  <c r="AT237" i="2"/>
  <c r="AT222" i="2"/>
  <c r="AT224" i="2"/>
  <c r="AT183" i="2"/>
  <c r="AT184" i="2" s="1"/>
  <c r="AS176" i="2"/>
  <c r="AS194" i="2"/>
  <c r="DF31" i="6" s="1"/>
  <c r="DG31" i="6" s="1"/>
  <c r="DH31" i="6" s="1"/>
  <c r="BM175" i="2"/>
  <c r="BM176" i="2" s="1"/>
  <c r="DI33" i="6" l="1"/>
  <c r="DI34" i="6"/>
  <c r="AU178" i="2"/>
  <c r="AU182" i="2"/>
  <c r="AT185" i="2"/>
  <c r="AT174" i="2"/>
  <c r="H39" i="6"/>
  <c r="AT175" i="2" l="1"/>
  <c r="AU195" i="2"/>
  <c r="DL32" i="6" s="1"/>
  <c r="AU235" i="2"/>
  <c r="AU220" i="2"/>
  <c r="AU222" i="2" s="1"/>
  <c r="C216" i="2" s="1"/>
  <c r="AU177" i="2"/>
  <c r="AU179" i="2"/>
  <c r="I39" i="6"/>
  <c r="AU239" i="2" l="1"/>
  <c r="AU237" i="2"/>
  <c r="DL33" i="6"/>
  <c r="DL34" i="6"/>
  <c r="AU183" i="2"/>
  <c r="AU184" i="2" s="1"/>
  <c r="AT194" i="2"/>
  <c r="DI31" i="6" s="1"/>
  <c r="DJ31" i="6" s="1"/>
  <c r="DK31" i="6" s="1"/>
  <c r="AT176" i="2"/>
  <c r="J39" i="6"/>
  <c r="AV178" i="2" l="1"/>
  <c r="AV182" i="2"/>
  <c r="AU185" i="2"/>
  <c r="AU174" i="2"/>
  <c r="K39" i="6"/>
  <c r="AU175" i="2" l="1"/>
  <c r="AV235" i="2"/>
  <c r="AV237" i="2" s="1"/>
  <c r="C231" i="2" s="1"/>
  <c r="AV177" i="2"/>
  <c r="AV179" i="2"/>
  <c r="AV195" i="2"/>
  <c r="DO32" i="6" s="1"/>
  <c r="DO33" i="6" l="1"/>
  <c r="DO34" i="6"/>
  <c r="AV183" i="2"/>
  <c r="AV184" i="2" s="1"/>
  <c r="AU194" i="2"/>
  <c r="DL31" i="6" s="1"/>
  <c r="DM31" i="6" s="1"/>
  <c r="DN31" i="6" s="1"/>
  <c r="AU176" i="2"/>
  <c r="AU219" i="2"/>
  <c r="AU224" i="2" s="1"/>
  <c r="C215" i="2" s="1"/>
  <c r="AW178" i="2" l="1"/>
  <c r="AV185" i="2"/>
  <c r="AW182" i="2"/>
  <c r="AV174" i="2"/>
  <c r="AV175" i="2" l="1"/>
  <c r="AW195" i="2"/>
  <c r="DR32" i="6" s="1"/>
  <c r="K17" i="6" s="1"/>
  <c r="K19" i="6" s="1"/>
  <c r="AW177" i="2"/>
  <c r="AW179" i="2"/>
  <c r="AW183" i="2" l="1"/>
  <c r="AW184" i="2" s="1"/>
  <c r="BN177" i="2"/>
  <c r="BN178" i="2" s="1"/>
  <c r="BN179" i="2" s="1"/>
  <c r="DR34" i="6"/>
  <c r="L40" i="6"/>
  <c r="AV194" i="2"/>
  <c r="DO31" i="6" s="1"/>
  <c r="DP31" i="6" s="1"/>
  <c r="DQ31" i="6" s="1"/>
  <c r="AV176" i="2"/>
  <c r="AV234" i="2"/>
  <c r="AV239" i="2" s="1"/>
  <c r="C230" i="2" s="1"/>
  <c r="K27" i="6" l="1"/>
  <c r="K26" i="6"/>
  <c r="K25" i="6"/>
  <c r="AW174" i="2"/>
  <c r="AW185" i="2"/>
  <c r="AX178" i="2"/>
  <c r="AX182" i="2"/>
  <c r="AW175" i="2" l="1"/>
  <c r="BN174" i="2"/>
  <c r="AX195" i="2"/>
  <c r="AX179" i="2"/>
  <c r="AX177" i="2"/>
  <c r="AX183" i="2" s="1"/>
  <c r="AX184" i="2" s="1"/>
  <c r="AX185" i="2" l="1"/>
  <c r="AX174" i="2"/>
  <c r="AX175" i="2" s="1"/>
  <c r="AY178" i="2"/>
  <c r="AY182" i="2"/>
  <c r="AW176" i="2"/>
  <c r="AW194" i="2"/>
  <c r="DR31" i="6" s="1"/>
  <c r="K15" i="6" s="1"/>
  <c r="BN175" i="2"/>
  <c r="BN176" i="2" s="1"/>
  <c r="K22" i="6" l="1"/>
  <c r="K23" i="6" s="1"/>
  <c r="K21" i="6"/>
  <c r="K16" i="6"/>
  <c r="DR33" i="6"/>
  <c r="K18" i="6" s="1"/>
  <c r="L39" i="6"/>
  <c r="AX194" i="2"/>
  <c r="AX176" i="2"/>
  <c r="AY179" i="2"/>
  <c r="AY177" i="2"/>
  <c r="AY183" i="2" s="1"/>
  <c r="AY184" i="2" s="1"/>
  <c r="AY195" i="2"/>
  <c r="AZ178" i="2" l="1"/>
  <c r="AY185" i="2"/>
  <c r="AZ182" i="2"/>
  <c r="AY174" i="2"/>
  <c r="AY175" i="2" s="1"/>
  <c r="AY176" i="2" l="1"/>
  <c r="AY194" i="2"/>
  <c r="AZ177" i="2"/>
  <c r="AZ183" i="2" s="1"/>
  <c r="AZ184" i="2" s="1"/>
  <c r="AZ179" i="2"/>
  <c r="AZ195" i="2"/>
  <c r="BA182" i="2" l="1"/>
  <c r="BA178" i="2"/>
  <c r="AZ185" i="2"/>
  <c r="AZ174" i="2"/>
  <c r="AZ175" i="2" s="1"/>
  <c r="BA179" i="2" l="1"/>
  <c r="BA195" i="2"/>
  <c r="BA177" i="2"/>
  <c r="BA183" i="2" s="1"/>
  <c r="BA184" i="2" s="1"/>
  <c r="AZ194" i="2"/>
  <c r="AZ176" i="2"/>
  <c r="BB182" i="2" l="1"/>
  <c r="BB178" i="2"/>
  <c r="BA185" i="2"/>
  <c r="BA174" i="2"/>
  <c r="BA175" i="2" s="1"/>
  <c r="BA194" i="2" l="1"/>
  <c r="BA176" i="2"/>
  <c r="BB179" i="2"/>
  <c r="BB195" i="2"/>
  <c r="BB177" i="2"/>
  <c r="BB183" i="2" s="1"/>
  <c r="BB184" i="2" s="1"/>
  <c r="BB174" i="2" l="1"/>
  <c r="BB175" i="2" s="1"/>
  <c r="BB185" i="2"/>
  <c r="BB176" i="2" l="1"/>
  <c r="BB19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admin1</author>
  </authors>
  <commentList>
    <comment ref="C145" authorId="0" shapeId="0" xr:uid="{4934C516-2AB6-484A-B1FF-75DE0B4E1095}">
      <text>
        <r>
          <rPr>
            <sz val="9"/>
            <color indexed="81"/>
            <rFont val="Tahoma"/>
            <family val="2"/>
            <charset val="204"/>
          </rPr>
          <t xml:space="preserve">остаток к уплате с учетом комиссии за управление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J2" authorId="0" shapeId="0" xr:uid="{54F882F9-FF51-4FB3-AE13-92FF4AA4D75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БЕЗ НДС
июль 3070967,74
август 3400000</t>
        </r>
      </text>
    </comment>
    <comment ref="K2" authorId="0" shapeId="0" xr:uid="{FE655F06-223D-4EB4-8BA4-ECFAA64E935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БЕЗ НДС
август 3400000</t>
        </r>
      </text>
    </comment>
    <comment ref="K3" authorId="0" shapeId="0" xr:uid="{126A141A-CDD6-4D6D-946D-8AFCC6FF3C7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Фривайзер 65806,45
УК Совхоз БЕЗ НДС невозмещаемые 217 250</t>
        </r>
      </text>
    </comment>
    <comment ref="K4" authorId="0" shapeId="0" xr:uid="{DE0C4886-9A24-46B7-A289-AF1AEE3079C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УК Совхоз возмещаемые 1183811,52</t>
        </r>
      </text>
    </comment>
    <comment ref="H9" authorId="0" shapeId="0" xr:uid="{1AA14AB1-ED25-41D5-9EA2-92AA342851D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%% БЖФ</t>
        </r>
      </text>
    </comment>
    <comment ref="I9" authorId="0" shapeId="0" xr:uid="{862B9561-E2F9-4E7B-AB54-FF17B49AF4F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выплата комиссии по кредиту 520000
%% БЖФ 1 329 836,06
%% ООО 3890,72</t>
        </r>
      </text>
    </comment>
    <comment ref="J9" authorId="0" shapeId="0" xr:uid="{7EF81F6C-6A35-4B66-B129-319E6B209FF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%% БЖФ 3875846,99
%% АО4 1475,41</t>
        </r>
      </text>
    </comment>
    <comment ref="K9" authorId="0" shapeId="0" xr:uid="{35B5D691-1EC2-4264-A0E8-84CE1E41CBA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%% БЖФ 
</t>
        </r>
      </text>
    </comment>
    <comment ref="G10" authorId="0" shapeId="0" xr:uid="{B512C687-E6BA-4551-A191-AA3DDD28DCB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статус увел уст кап</t>
        </r>
      </text>
    </comment>
    <comment ref="H10" authorId="0" shapeId="0" xr:uid="{AFFC90DC-403E-4B62-9206-1B34DD32D8C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госпошлина 66000
нотариус 160 000
статус доп выпуск 30 000
статус удост реш акционера 11500
статус увел уст кап 41 666,67 БЕЗ НДС
агентское вознаграждение Лизинглаб 5 920 000 БЕЗ НДС</t>
        </r>
      </text>
    </comment>
    <comment ref="I10" authorId="0" shapeId="0" xr:uid="{CF558769-F9F7-4E99-A72E-C0E99CEE2E57}">
      <text>
        <r>
          <rPr>
            <b/>
            <sz val="9"/>
            <color indexed="81"/>
            <rFont val="Tahoma"/>
            <family val="2"/>
            <charset val="204"/>
          </rPr>
          <t xml:space="preserve">Татьяна Левушкина
</t>
        </r>
        <r>
          <rPr>
            <sz val="9"/>
            <color indexed="81"/>
            <rFont val="Tahoma"/>
            <family val="2"/>
            <charset val="204"/>
          </rPr>
          <t>услуги банка по аккредитиву 706926,23
Статус аннулирование 12 000
увел УК 121 666,66 БЕЗ НДС
регистрация доп выпуска 30 000
размещение цб</t>
        </r>
        <r>
          <rPr>
            <b/>
            <sz val="9"/>
            <color indexed="81"/>
            <rFont val="Tahoma"/>
            <family val="2"/>
            <charset val="204"/>
          </rPr>
          <t xml:space="preserve"> </t>
        </r>
        <r>
          <rPr>
            <sz val="9"/>
            <color indexed="81"/>
            <rFont val="Tahoma"/>
            <family val="2"/>
            <charset val="204"/>
          </rPr>
          <t>89000
Паюшин оценка недвижимости 285000
Альфастрахование 172000
Лизинглаб поиск кредита 1568000 БЕЗ НДС
комиссия банка за перевод инвестиций с платформы 302800</t>
        </r>
      </text>
    </comment>
    <comment ref="J10" authorId="0" shapeId="0" xr:uid="{87B5DEFE-AA80-4A30-97F4-AFF2E4BEB2B3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Паюшин оценка Совхоза 2715000
ООО за поиск обьекта 5 млн</t>
        </r>
      </text>
    </comment>
    <comment ref="K10" authorId="0" shapeId="0" xr:uid="{DE91596B-A56B-447B-97E7-A18552300A3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возмещение ООО комиссии банка за перевод инвестиций 111972
Статус за размещение 335000</t>
        </r>
      </text>
    </comment>
    <comment ref="H11" authorId="0" shapeId="0" xr:uid="{922ED0AF-FC58-4FCC-A84F-BE80C631829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 привл инвестиций 4 542 000</t>
        </r>
      </text>
    </comment>
    <comment ref="J11" authorId="0" shapeId="0" xr:uid="{6364B3F3-D631-4CE2-AAB5-86ABA1A2E48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 управление за 3 кв 907258,06
за привл инвестиций 1679580</t>
        </r>
      </text>
    </comment>
    <comment ref="K11" authorId="0" shapeId="0" xr:uid="{2EC42618-EB4A-43ED-9D2D-A808F98F88F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 привл инвестиций ООО 85050</t>
        </r>
      </text>
    </comment>
    <comment ref="H12" authorId="0" shapeId="0" xr:uid="{984FF2E8-D61D-48A9-89FB-A6A0B682FB4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статус предост списка лиц 4200
статус ведение реестра 9230,77
</t>
        </r>
      </text>
    </comment>
    <comment ref="I12" authorId="0" shapeId="0" xr:uid="{24521894-63E5-49FC-AD43-D83A0FE1C9B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статус 30000</t>
        </r>
      </text>
    </comment>
    <comment ref="H13" authorId="0" shapeId="0" xr:uid="{3CC325DD-55A3-44F6-B1F7-4E95CBF4AD3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%% по депозитам 
</t>
        </r>
      </text>
    </comment>
    <comment ref="I13" authorId="0" shapeId="0" xr:uid="{EE021935-7438-411D-97A0-2459260C86C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%% по депозитам 21875,25
проценты от аккредитива 353142,08
</t>
        </r>
      </text>
    </comment>
    <comment ref="J13" authorId="0" shapeId="0" xr:uid="{53866197-A663-4B9F-BAEB-4F0997C98CF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%% по депозитам 
</t>
        </r>
      </text>
    </comment>
    <comment ref="K13" authorId="0" shapeId="0" xr:uid="{46200649-E947-49FA-AE57-7B6DEF0E8D7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%% по депозитам 
</t>
        </r>
      </text>
    </comment>
    <comment ref="G14" authorId="0" shapeId="0" xr:uid="{2885AD2B-5E47-4C58-A617-BDD22B00E9D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услуги банка 700
нотариус 1200
</t>
        </r>
      </text>
    </comment>
    <comment ref="H14" authorId="0" shapeId="0" xr:uid="{FB0BB575-77AC-4ADB-A123-29A5EF6695B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нотариус 6900
услуги банка 15276
1С отчетность 4740
</t>
        </r>
      </text>
    </comment>
    <comment ref="I14" authorId="0" shapeId="0" xr:uid="{1EEAF5C3-7F5C-4D47-90EA-850C346AD26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нотариус 1100
услуги банка 2980
почта Левина 13800
диадок 2290</t>
        </r>
      </text>
    </comment>
    <comment ref="J14" authorId="0" shapeId="0" xr:uid="{79002B62-7125-46EC-BE44-588CAB20C92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услуги банка 3000</t>
        </r>
      </text>
    </comment>
    <comment ref="K14" authorId="0" shapeId="0" xr:uid="{97D5ECC8-1B31-4607-9C56-9B25C855032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услуги банка 1700</t>
        </r>
      </text>
    </comment>
    <comment ref="H18" authorId="0" shapeId="0" xr:uid="{3FE3CA98-ADF3-48C0-9FAC-D135D47DFEF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аккредитив БЖФ 200 млн</t>
        </r>
      </text>
    </comment>
    <comment ref="I18" authorId="0" shapeId="0" xr:uid="{D7BA46FF-A6A9-4BCE-8A9B-518309AB61F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Аккредитив ВТБ</t>
        </r>
      </text>
    </comment>
    <comment ref="G20" authorId="0" shapeId="0" xr:uid="{95464534-7A7C-4C02-9CD6-3D693F23C14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займ от ооо</t>
        </r>
      </text>
    </comment>
    <comment ref="H20" authorId="0" shapeId="0" xr:uid="{9580F9A0-191F-49BE-AD97-B025F2F1E78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Золотарева займ 70 млн
Седов займ 25 млн
БЖФ кредит 208 млн
ООО займ 300 тыс</t>
        </r>
      </text>
    </comment>
    <comment ref="I21" authorId="0" shapeId="0" xr:uid="{0ACC4736-3418-4ECA-B8C5-FD88B5C1BC2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возврат займа ооо 410000
</t>
        </r>
      </text>
    </comment>
    <comment ref="K21" authorId="0" shapeId="0" xr:uid="{3F8CA0AC-AC89-4DDE-BF37-3F7D606C829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БЖФ</t>
        </r>
      </text>
    </comment>
    <comment ref="H24" authorId="0" shapeId="0" xr:uid="{1DB7BDE8-3748-4D58-8D46-A01F87C7A67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инвестиции с платформы</t>
        </r>
      </text>
    </comment>
    <comment ref="K34" authorId="0" shapeId="0" xr:uid="{17691481-134E-4ADB-84D6-991E6A739BE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кредит БЖФ 187 928 803,31
Золотарева 70 млн
Седов 25 млн</t>
        </r>
      </text>
    </comment>
    <comment ref="H36" authorId="0" shapeId="0" xr:uid="{A27EDB64-79CE-4892-B4A3-ECD547BDE16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выручки и возмещения коммунальных минус  с расходов мосэнергосбыту минус с расх Статуса 8 333,33 минус с Лизинглаб 1 184 000 минус НДС уплаченный </t>
        </r>
      </text>
    </comment>
    <comment ref="I36" authorId="0" shapeId="0" xr:uid="{7AEA46FF-7B36-49AB-8E69-92CF434385B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выручки и возмещения коммунальных минус  с расходов мосэнергосбыту минус с расх Статуса 23 333,34 минус с Лизинглаб 313600 минус НДС уплаченный </t>
        </r>
      </text>
    </comment>
    <comment ref="J36" authorId="0" shapeId="0" xr:uid="{74092539-B3D9-44A8-B0CE-D60579DE0A9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выручки 1294193,55 и возмещения коммунальных минус  с расходов мосэнергосбыту минус с расх Статуса  минус НДС уплаченный </t>
        </r>
      </text>
    </comment>
    <comment ref="K36" authorId="0" shapeId="0" xr:uid="{31059186-BC70-4EB3-BC4E-DD85F17CFF6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выручки 680000 и возмещения коммунальных минус  с расходов УК Совхоз 280212,30 минус с расх Статуса  минус НДС уплаченный </t>
        </r>
      </text>
    </comment>
  </commentList>
</comments>
</file>

<file path=xl/sharedStrings.xml><?xml version="1.0" encoding="utf-8"?>
<sst xmlns="http://schemas.openxmlformats.org/spreadsheetml/2006/main" count="577" uniqueCount="381">
  <si>
    <t>Inputs (Вводные данные в модель)</t>
  </si>
  <si>
    <t>Объект</t>
  </si>
  <si>
    <t>Base</t>
  </si>
  <si>
    <t>Дата покупки</t>
  </si>
  <si>
    <t>Sources</t>
  </si>
  <si>
    <t>Руб.</t>
  </si>
  <si>
    <t>%</t>
  </si>
  <si>
    <t>Uses</t>
  </si>
  <si>
    <t>Комиссия SimpleEstate</t>
  </si>
  <si>
    <t>Итого</t>
  </si>
  <si>
    <t>Затраты, в год</t>
  </si>
  <si>
    <t>SimpleEstate Transaction Fees</t>
  </si>
  <si>
    <t>SimpleEstate Management Fees</t>
  </si>
  <si>
    <t xml:space="preserve">Страхование </t>
  </si>
  <si>
    <t xml:space="preserve">Минимальный остаток денежных средств </t>
  </si>
  <si>
    <t xml:space="preserve">Комиссия SimpleEstate </t>
  </si>
  <si>
    <t>Год</t>
  </si>
  <si>
    <t xml:space="preserve">Квартал </t>
  </si>
  <si>
    <t>4 кв.</t>
  </si>
  <si>
    <t>Арендная выручка</t>
  </si>
  <si>
    <t xml:space="preserve">Кадастровая стоимость здания </t>
  </si>
  <si>
    <t>Налог на недвижимость</t>
  </si>
  <si>
    <t>NOI</t>
  </si>
  <si>
    <t>NOI margin,%</t>
  </si>
  <si>
    <t xml:space="preserve">Due Diligence </t>
  </si>
  <si>
    <t>Страхование недвижимости</t>
  </si>
  <si>
    <t>EBT</t>
  </si>
  <si>
    <t>FCF</t>
  </si>
  <si>
    <t>Cap Rate</t>
  </si>
  <si>
    <t>Дивиденды</t>
  </si>
  <si>
    <t>Денежные средства на начало</t>
  </si>
  <si>
    <t>Денежный поток</t>
  </si>
  <si>
    <t>Денежные средства на конец</t>
  </si>
  <si>
    <t xml:space="preserve">Цена / м2, руб. </t>
  </si>
  <si>
    <t xml:space="preserve">Цена покупки </t>
  </si>
  <si>
    <t>1 кв.</t>
  </si>
  <si>
    <t xml:space="preserve">Последний месяц отчетного периода </t>
  </si>
  <si>
    <t>Рыночная стоимость объекта (EV)</t>
  </si>
  <si>
    <t>Акционерный капитал (Equity)</t>
  </si>
  <si>
    <t>Рост EV (квартальный), %</t>
  </si>
  <si>
    <t>Рост Equity (квартальный), %</t>
  </si>
  <si>
    <t>Дивидендная доходность,%</t>
  </si>
  <si>
    <t xml:space="preserve">Эксплуатация </t>
  </si>
  <si>
    <t>2 кв.</t>
  </si>
  <si>
    <t>Cash Check</t>
  </si>
  <si>
    <t>Выпуск акций</t>
  </si>
  <si>
    <t>Equity</t>
  </si>
  <si>
    <t xml:space="preserve">Расходы </t>
  </si>
  <si>
    <t>Договоры аренды</t>
  </si>
  <si>
    <t>3 кв.</t>
  </si>
  <si>
    <t xml:space="preserve">Кадастровая стоимость / м2, руб. </t>
  </si>
  <si>
    <t xml:space="preserve">Временные периоды </t>
  </si>
  <si>
    <t>Эксплуатация, руб. / м2 / мес.</t>
  </si>
  <si>
    <t xml:space="preserve">Эксплуатация, руб. </t>
  </si>
  <si>
    <t xml:space="preserve">Долг </t>
  </si>
  <si>
    <t xml:space="preserve">Инфляция </t>
  </si>
  <si>
    <t>Рост выручки (г/г) , %</t>
  </si>
  <si>
    <t>1 год</t>
  </si>
  <si>
    <t>2 год</t>
  </si>
  <si>
    <t>3 год</t>
  </si>
  <si>
    <t>4 год</t>
  </si>
  <si>
    <t>5 год</t>
  </si>
  <si>
    <t>6 год</t>
  </si>
  <si>
    <t>7 год</t>
  </si>
  <si>
    <t>8 год</t>
  </si>
  <si>
    <t>9 год</t>
  </si>
  <si>
    <t>10 год</t>
  </si>
  <si>
    <t>Привлечение капитала</t>
  </si>
  <si>
    <t>Раунды</t>
  </si>
  <si>
    <t xml:space="preserve">Окончание 1-го раунда </t>
  </si>
  <si>
    <t xml:space="preserve">Окончание 2-го раунда </t>
  </si>
  <si>
    <t xml:space="preserve">Окончание 3-го раунда </t>
  </si>
  <si>
    <t xml:space="preserve">Цена акции 3-го раунда </t>
  </si>
  <si>
    <t xml:space="preserve">Цена акции 2-го раунда </t>
  </si>
  <si>
    <t xml:space="preserve">Цена акции 1-го раунда </t>
  </si>
  <si>
    <t xml:space="preserve">Количество акций </t>
  </si>
  <si>
    <t xml:space="preserve">Количество акций 1-го раунда </t>
  </si>
  <si>
    <t xml:space="preserve">Количество акций 2-го раунда </t>
  </si>
  <si>
    <t xml:space="preserve">Количество акций 3-го раунда </t>
  </si>
  <si>
    <t xml:space="preserve">Equity Investments </t>
  </si>
  <si>
    <t xml:space="preserve">1й раунд </t>
  </si>
  <si>
    <t xml:space="preserve">2й раунд </t>
  </si>
  <si>
    <t xml:space="preserve">3й раунд </t>
  </si>
  <si>
    <t xml:space="preserve">Всего инвестиций </t>
  </si>
  <si>
    <t>Дивиденды на 1 акцию</t>
  </si>
  <si>
    <t xml:space="preserve">Дивиденды </t>
  </si>
  <si>
    <t>покупка</t>
  </si>
  <si>
    <t xml:space="preserve">Цена акции </t>
  </si>
  <si>
    <t>Дивиденды на акцию</t>
  </si>
  <si>
    <t xml:space="preserve">4 год </t>
  </si>
  <si>
    <t xml:space="preserve">2 кв. </t>
  </si>
  <si>
    <t xml:space="preserve">3 кв. </t>
  </si>
  <si>
    <t xml:space="preserve">4 кв. </t>
  </si>
  <si>
    <t xml:space="preserve">5 кв. </t>
  </si>
  <si>
    <t>6 кв.</t>
  </si>
  <si>
    <t>Перекресток - Совхоз Ленина</t>
  </si>
  <si>
    <t>Налог на землю</t>
  </si>
  <si>
    <t>Цена Объекта, руб. (без НДС)</t>
  </si>
  <si>
    <t>Здание</t>
  </si>
  <si>
    <t>Земля</t>
  </si>
  <si>
    <t>Кадастровая стоимость здания</t>
  </si>
  <si>
    <t>Кадастровая стоимость земли</t>
  </si>
  <si>
    <t>Площадь здания, м2 (GLA)</t>
  </si>
  <si>
    <t>Площадь земельного участка</t>
  </si>
  <si>
    <t>Арендатор</t>
  </si>
  <si>
    <t>Перекресток</t>
  </si>
  <si>
    <t>Дата окончания договора аренды</t>
  </si>
  <si>
    <t>Месячная арендная плата (без НДС)</t>
  </si>
  <si>
    <t>% от товароборота</t>
  </si>
  <si>
    <t>Индексация аренды (безусловная)</t>
  </si>
  <si>
    <t>Ставка аренды / м2</t>
  </si>
  <si>
    <t>Налог на имущество</t>
  </si>
  <si>
    <t>Цена акций</t>
  </si>
  <si>
    <t>Итого количество акций</t>
  </si>
  <si>
    <t>Квартал индексации</t>
  </si>
  <si>
    <t>Налог на прибыль</t>
  </si>
  <si>
    <t>EBITDA</t>
  </si>
  <si>
    <t>Амортизация</t>
  </si>
  <si>
    <t>Срок полезного использования здания, лет</t>
  </si>
  <si>
    <t>в рублях, без НДС</t>
  </si>
  <si>
    <t>Прочие вводные данные</t>
  </si>
  <si>
    <t>Остаточная стоимость объекта</t>
  </si>
  <si>
    <t>Покупка объекта</t>
  </si>
  <si>
    <t>Долг</t>
  </si>
  <si>
    <t>Цена акции</t>
  </si>
  <si>
    <t>НДС с покупки объекта</t>
  </si>
  <si>
    <t>Привлечение долга</t>
  </si>
  <si>
    <t>4 кв.2024</t>
  </si>
  <si>
    <t>Выплата долга</t>
  </si>
  <si>
    <t>Накопленный убыток</t>
  </si>
  <si>
    <t>База по налогу на прибыль</t>
  </si>
  <si>
    <t>Ставка налога на имущество (от кадастра)</t>
  </si>
  <si>
    <t>Ставка налога на землю (от кадастра)</t>
  </si>
  <si>
    <t xml:space="preserve">Показатель </t>
  </si>
  <si>
    <t>Ед. изм.</t>
  </si>
  <si>
    <t xml:space="preserve">Результаты инвестиций  </t>
  </si>
  <si>
    <t xml:space="preserve">Дата инвестирования </t>
  </si>
  <si>
    <t>---</t>
  </si>
  <si>
    <t xml:space="preserve">Cтоимость доли в момент выхода из проекта </t>
  </si>
  <si>
    <t>руб.</t>
  </si>
  <si>
    <t>В каком раунде вы инвестировали ?</t>
  </si>
  <si>
    <t xml:space="preserve">&lt;== Выберите раунд из списка </t>
  </si>
  <si>
    <t>Общий прирост стоимости</t>
  </si>
  <si>
    <t>Через сколько лет хотите продать ?</t>
  </si>
  <si>
    <t xml:space="preserve">лет </t>
  </si>
  <si>
    <t xml:space="preserve">&lt;== Введите кол-во лет </t>
  </si>
  <si>
    <t>Полученные дивиденды</t>
  </si>
  <si>
    <t>Общая доходность (IRR)</t>
  </si>
  <si>
    <t xml:space="preserve">Проинвестированная сумма </t>
  </si>
  <si>
    <t>&lt;== Введите сумму</t>
  </si>
  <si>
    <t>Money Multiple (MoM)</t>
  </si>
  <si>
    <t xml:space="preserve">Кол-во приобретаемых акций </t>
  </si>
  <si>
    <t>шт.</t>
  </si>
  <si>
    <t xml:space="preserve">Доля в капитале акционерного общества </t>
  </si>
  <si>
    <t xml:space="preserve">Стоимость доли </t>
  </si>
  <si>
    <t>Покупка</t>
  </si>
  <si>
    <t>Калькулятор доходности инвестора "Перекресток - Совхоз Ленина"</t>
  </si>
  <si>
    <t>Проценты и комиссия по долгу</t>
  </si>
  <si>
    <t>Используемый убыток</t>
  </si>
  <si>
    <t>Резерв на проценты по долгу</t>
  </si>
  <si>
    <t>SimpleEstate - комиссия за продажу объекта</t>
  </si>
  <si>
    <t>Рост товарооборота (г/г) , %</t>
  </si>
  <si>
    <t>Аренда как % от ТО</t>
  </si>
  <si>
    <t>Фиксированная арендная плата</t>
  </si>
  <si>
    <t>OCR (арендная нагрузка), %</t>
  </si>
  <si>
    <t xml:space="preserve">Средняя дивидендная доходность </t>
  </si>
  <si>
    <t>Доход инвестора (дивиденды + стоимость доли)</t>
  </si>
  <si>
    <t>Стоимость</t>
  </si>
  <si>
    <t>Прибыль инвестора (доход - инвестиции)</t>
  </si>
  <si>
    <t>Рыночная аренда как % от ТО</t>
  </si>
  <si>
    <t>% от ТО</t>
  </si>
  <si>
    <t>Ноябрь</t>
  </si>
  <si>
    <t>Февраль</t>
  </si>
  <si>
    <t>Апрель</t>
  </si>
  <si>
    <t>Март</t>
  </si>
  <si>
    <t>Май</t>
  </si>
  <si>
    <t>Ставка налога на прибыль</t>
  </si>
  <si>
    <t>Аккредитив</t>
  </si>
  <si>
    <t>Нотариус</t>
  </si>
  <si>
    <t>Upside</t>
  </si>
  <si>
    <t>Downside</t>
  </si>
  <si>
    <t>Ставка</t>
  </si>
  <si>
    <t>Сопровождение сделки</t>
  </si>
  <si>
    <t>АО9</t>
  </si>
  <si>
    <t>Январь</t>
  </si>
  <si>
    <t>Июнь</t>
  </si>
  <si>
    <t>Июль</t>
  </si>
  <si>
    <t>Август</t>
  </si>
  <si>
    <t>Сентябрь</t>
  </si>
  <si>
    <t>Октябрь</t>
  </si>
  <si>
    <t>Декабрь</t>
  </si>
  <si>
    <t xml:space="preserve">Выручка от аренды помещения </t>
  </si>
  <si>
    <t>Эксплуатационные расходы</t>
  </si>
  <si>
    <t>Коммунальные расходы</t>
  </si>
  <si>
    <t>Возмещение коммунальных расходов</t>
  </si>
  <si>
    <t>Чистый операционный доход</t>
  </si>
  <si>
    <t>Выплата процентов по кредитам, займам</t>
  </si>
  <si>
    <t>Расходы на сделки</t>
  </si>
  <si>
    <t>Услуги ООО по управлению и привлечению инвестиций</t>
  </si>
  <si>
    <t>Юридические услуги</t>
  </si>
  <si>
    <t>Прочие доходы, влияющие на прибыль</t>
  </si>
  <si>
    <t>Прочие расходы (расходы на услуги банков, госпошлина)</t>
  </si>
  <si>
    <t>Доналоговая прибыль</t>
  </si>
  <si>
    <t>Налог на прибыль (УСН)</t>
  </si>
  <si>
    <t>Чистая прибыль</t>
  </si>
  <si>
    <t>Капитальные вложения (Покупка обьектов)</t>
  </si>
  <si>
    <t>Капитальные расходы на поддержание обьектов</t>
  </si>
  <si>
    <t>Получение обеспечительных платежей</t>
  </si>
  <si>
    <t>Возврат обеспечительных платежей</t>
  </si>
  <si>
    <t>Изменение капитала</t>
  </si>
  <si>
    <t>Прочие поступления</t>
  </si>
  <si>
    <t>Прочие выплаты</t>
  </si>
  <si>
    <t>Денежный остаток на начало периода</t>
  </si>
  <si>
    <t>Денежный остаток на конец периода</t>
  </si>
  <si>
    <t>Чистый денежный поток</t>
  </si>
  <si>
    <t>Справочно:</t>
  </si>
  <si>
    <t>Сальдо Финансовые вложения (выданные займы)</t>
  </si>
  <si>
    <t>Сальдо %% по выданным займам</t>
  </si>
  <si>
    <t>Сальдо займы, кредиты полученные</t>
  </si>
  <si>
    <t>Сальдо %% по полученным займам</t>
  </si>
  <si>
    <t xml:space="preserve">Сальдо НДС </t>
  </si>
  <si>
    <t>Амортизация начисленная (НУ)</t>
  </si>
  <si>
    <t>Расходы на коммунальные услуги</t>
  </si>
  <si>
    <t>Возмещение расходов на коммунальные услуги</t>
  </si>
  <si>
    <t xml:space="preserve">Юридические расходы </t>
  </si>
  <si>
    <t xml:space="preserve">Прочие доходы </t>
  </si>
  <si>
    <t xml:space="preserve">Прочие расходы </t>
  </si>
  <si>
    <t>Расхождение с управл. отчетностью</t>
  </si>
  <si>
    <t xml:space="preserve">Прочие выплаты </t>
  </si>
  <si>
    <t xml:space="preserve">Прочие поступления </t>
  </si>
  <si>
    <t xml:space="preserve">Вспомогательные расчеты </t>
  </si>
  <si>
    <t>Сальдо по НДС</t>
  </si>
  <si>
    <t>дивиденды</t>
  </si>
  <si>
    <t xml:space="preserve">Цена акции 4-го раунда </t>
  </si>
  <si>
    <t xml:space="preserve">Количество акций 4-го раунда </t>
  </si>
  <si>
    <t xml:space="preserve">4й раунд </t>
  </si>
  <si>
    <t xml:space="preserve">Комментарий </t>
  </si>
  <si>
    <t xml:space="preserve">Прочие и юридические расходы </t>
  </si>
  <si>
    <t xml:space="preserve">Статус </t>
  </si>
  <si>
    <t>1С</t>
  </si>
  <si>
    <t xml:space="preserve">Диадок </t>
  </si>
  <si>
    <t xml:space="preserve">Почта </t>
  </si>
  <si>
    <t>Оценка и аудит</t>
  </si>
  <si>
    <t>Комиссия банка</t>
  </si>
  <si>
    <t>Итого в год</t>
  </si>
  <si>
    <t xml:space="preserve">тело </t>
  </si>
  <si>
    <t xml:space="preserve">проценты </t>
  </si>
  <si>
    <t xml:space="preserve">итого </t>
  </si>
  <si>
    <t xml:space="preserve">Кредитор </t>
  </si>
  <si>
    <t>БЖФ</t>
  </si>
  <si>
    <t xml:space="preserve">Седов </t>
  </si>
  <si>
    <t>Золоторева</t>
  </si>
  <si>
    <t>ООО</t>
  </si>
  <si>
    <t>КС+4%</t>
  </si>
  <si>
    <t>Общий доход</t>
  </si>
  <si>
    <t xml:space="preserve">Прибыль </t>
  </si>
  <si>
    <t xml:space="preserve">Остаток </t>
  </si>
  <si>
    <t>Прочее</t>
  </si>
  <si>
    <t>Платеж</t>
  </si>
  <si>
    <t>Проценты</t>
  </si>
  <si>
    <t xml:space="preserve">Тело </t>
  </si>
  <si>
    <t xml:space="preserve">Дата </t>
  </si>
  <si>
    <t>Маржа по кредиту</t>
  </si>
  <si>
    <t>КС</t>
  </si>
  <si>
    <t xml:space="preserve">Товарооборот, без НДС </t>
  </si>
  <si>
    <t>3 кв. 2024</t>
  </si>
  <si>
    <t>1 кв.2025</t>
  </si>
  <si>
    <t>2 кв.2025</t>
  </si>
  <si>
    <t>3 кв.2025</t>
  </si>
  <si>
    <t>4 кв.2025</t>
  </si>
  <si>
    <t>1 кв.2026</t>
  </si>
  <si>
    <t>2 кв.2026</t>
  </si>
  <si>
    <t>3 кв. 2026</t>
  </si>
  <si>
    <t>4 кв.2026</t>
  </si>
  <si>
    <t>1 кв.2027</t>
  </si>
  <si>
    <t>2 кв.2027</t>
  </si>
  <si>
    <t>3 кв. 2027</t>
  </si>
  <si>
    <t>4 кв.2027</t>
  </si>
  <si>
    <t>1 кв.2028</t>
  </si>
  <si>
    <t>2 кв.2028</t>
  </si>
  <si>
    <t>3 кв. 2028</t>
  </si>
  <si>
    <t>4 кв.2028</t>
  </si>
  <si>
    <t>1 кв.2029</t>
  </si>
  <si>
    <t>Чистый операционный доход (NOI)</t>
  </si>
  <si>
    <t xml:space="preserve">Эксплуатационные расходы </t>
  </si>
  <si>
    <t>Процентные расходы</t>
  </si>
  <si>
    <t xml:space="preserve">Амортизация </t>
  </si>
  <si>
    <t>Погашение долга</t>
  </si>
  <si>
    <t>Денежный поток до выплаты дивидендов</t>
  </si>
  <si>
    <t>Стоимость объекта (EV)</t>
  </si>
  <si>
    <t>Цена акции, руб.</t>
  </si>
  <si>
    <t>Дивиденды на акцию, руб.</t>
  </si>
  <si>
    <t>Ставка капитализации (Cap Rate)</t>
  </si>
  <si>
    <t>Cash Balance Check with model</t>
  </si>
  <si>
    <t xml:space="preserve">Stock price &amp; Dividends </t>
  </si>
  <si>
    <t>в рублях</t>
  </si>
  <si>
    <t>UoM</t>
  </si>
  <si>
    <t>4 кв. 2024</t>
  </si>
  <si>
    <t>1 кв. 2025</t>
  </si>
  <si>
    <t>Количество акций (3 кв. 2024 г.)</t>
  </si>
  <si>
    <t xml:space="preserve">Рыночная стоимость объекта </t>
  </si>
  <si>
    <t>млн. руб.</t>
  </si>
  <si>
    <t xml:space="preserve">Акционерный капитал </t>
  </si>
  <si>
    <t xml:space="preserve">Стоимость акции </t>
  </si>
  <si>
    <t>АО «Симпл Эстэйт Девять»
(в рублях)</t>
  </si>
  <si>
    <t>Выручка от аренды "Перекрестка"</t>
  </si>
  <si>
    <t>Налог на прибыль (ОСНО)</t>
  </si>
  <si>
    <t xml:space="preserve">НДС </t>
  </si>
  <si>
    <t>Долг (кредит и займы)</t>
  </si>
  <si>
    <t>Выплатили</t>
  </si>
  <si>
    <t xml:space="preserve">Дата конвертации займов </t>
  </si>
  <si>
    <t>График погашения кредита от БЖФ (Senior Debt)</t>
  </si>
  <si>
    <t>Junior Debt Schedule</t>
  </si>
  <si>
    <t>Junior Debts Balance</t>
  </si>
  <si>
    <t>Principals</t>
  </si>
  <si>
    <t xml:space="preserve">Interest </t>
  </si>
  <si>
    <t>Выплата (Конвертация)</t>
  </si>
  <si>
    <t xml:space="preserve">Начисление </t>
  </si>
  <si>
    <t xml:space="preserve">Период </t>
  </si>
  <si>
    <t xml:space="preserve">Old Investors </t>
  </si>
  <si>
    <t>IRR</t>
  </si>
  <si>
    <t>Avg. CoC</t>
  </si>
  <si>
    <t>Investments / Exit</t>
  </si>
  <si>
    <t xml:space="preserve">Dividends per share </t>
  </si>
  <si>
    <t>Dividends Yield, %</t>
  </si>
  <si>
    <t xml:space="preserve">Investors CF per share </t>
  </si>
  <si>
    <t>New Investors</t>
  </si>
  <si>
    <t xml:space="preserve">в учете у Татьяны ошибка </t>
  </si>
  <si>
    <t xml:space="preserve">Расчет для инвесторов 4го раунда </t>
  </si>
  <si>
    <t>04.08.2022</t>
  </si>
  <si>
    <t>3 кв. 2023</t>
  </si>
  <si>
    <t>4 кв. 2023</t>
  </si>
  <si>
    <t>1 кв. 2024</t>
  </si>
  <si>
    <t>2 кв. 2024</t>
  </si>
  <si>
    <t>Количество акций (3 кв. 2023 г.)</t>
  </si>
  <si>
    <t xml:space="preserve">подписать что 57% нерепрезентативно; </t>
  </si>
  <si>
    <t>удалить слайд с условиями;</t>
  </si>
  <si>
    <t>написать что НДС вернутся в 1 квартале;</t>
  </si>
  <si>
    <t xml:space="preserve"> + </t>
  </si>
  <si>
    <t>+</t>
  </si>
  <si>
    <t>Привлечение Equity инвестиций</t>
  </si>
  <si>
    <t>Юридические и транзакционные расходы</t>
  </si>
  <si>
    <t>Комментарии к отчету</t>
  </si>
  <si>
    <t>последняя возможность инвестировать добавить;</t>
  </si>
  <si>
    <t>заменить привлечение акционерного капитала.</t>
  </si>
  <si>
    <t>Рыночная стоимость объекта</t>
  </si>
  <si>
    <t>1кв24</t>
  </si>
  <si>
    <t>2кв24</t>
  </si>
  <si>
    <t>3кв24</t>
  </si>
  <si>
    <t>4кв24</t>
  </si>
  <si>
    <t>Показатель</t>
  </si>
  <si>
    <t xml:space="preserve">Денежный поток </t>
  </si>
  <si>
    <t xml:space="preserve">Месяц </t>
  </si>
  <si>
    <t>Дивидендная доходность, %</t>
  </si>
  <si>
    <t>1й год</t>
  </si>
  <si>
    <t>2й год</t>
  </si>
  <si>
    <t>3й год</t>
  </si>
  <si>
    <t>4й год</t>
  </si>
  <si>
    <t>5й год</t>
  </si>
  <si>
    <t>6й год</t>
  </si>
  <si>
    <t>7й год</t>
  </si>
  <si>
    <t>8й год</t>
  </si>
  <si>
    <t>9й год</t>
  </si>
  <si>
    <t>10й год</t>
  </si>
  <si>
    <r>
      <t xml:space="preserve">Сценарий </t>
    </r>
    <r>
      <rPr>
        <b/>
        <i/>
        <sz val="14"/>
        <color theme="1"/>
        <rFont val="Helvetica"/>
        <charset val="204"/>
      </rPr>
      <t>(1-базовый, 2-пессимистичный, 3-оптимистичный)</t>
    </r>
  </si>
  <si>
    <t>&lt;== Введите сценарий</t>
  </si>
  <si>
    <t>Товарооборот магазина (месячный), без НДС</t>
  </si>
  <si>
    <t>Средняя дивидендная доходность в 1й год</t>
  </si>
  <si>
    <t>Junior Debt #2 (тело)</t>
  </si>
  <si>
    <t>Junior Debt #2  (проценты)</t>
  </si>
  <si>
    <t>Junior Debt #2 BoP</t>
  </si>
  <si>
    <t>Junior Debt #2 EoP</t>
  </si>
  <si>
    <t>Junior Debt #1а (тело)</t>
  </si>
  <si>
    <t>Junior Debt #1а (проценты)</t>
  </si>
  <si>
    <t>Junior Debt #1 BoP</t>
  </si>
  <si>
    <t>Junior Debt #1 EoP</t>
  </si>
  <si>
    <t>SE (тело)</t>
  </si>
  <si>
    <t>SE (проценты)</t>
  </si>
  <si>
    <t>Cap Rate выхода</t>
  </si>
  <si>
    <t>Рост EV (г/г), %</t>
  </si>
  <si>
    <t>Рост Equity (г/г),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</si>
</sst>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0.0%"/>
    <numFmt numFmtId="165" formatCode="#,##0.0"/>
    <numFmt numFmtId="166" formatCode="_-* #,##0_-;\-* #,##0_-;_-* &quot;-&quot;??_-;_-@_-"/>
    <numFmt numFmtId="167" formatCode="#,##0;\(#,##0\)"/>
    <numFmt numFmtId="168" formatCode="_-* #,##0.00\ _₽_-;\-* #,##0.00\ _₽_-;_-* &quot;-&quot;??\ _₽_-;_-@_-"/>
    <numFmt numFmtId="169" formatCode="0.000"/>
    <numFmt numFmtId="170" formatCode="#,##0_ ;\-#,##0\ "/>
    <numFmt numFmtId="171" formatCode="0.0\х"/>
    <numFmt numFmtId="172" formatCode="_-* #,##0.0\ _₽_-;\-* #,##0.0\ _₽_-;_-* &quot;-&quot;??\ _₽_-;_-@_-"/>
    <numFmt numFmtId="173" formatCode="_-* #,##0\ _₽_-;\-* #,##0\ _₽_-;_-* &quot;-&quot;??\ _₽_-;_-@_-"/>
    <numFmt numFmtId="174" formatCode="0.0"/>
  </numFmts>
  <fonts count="92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8"/>
      <name val="Arial"/>
      <family val="2"/>
      <charset val="204"/>
    </font>
    <font>
      <sz val="12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FF"/>
      <name val="Arial"/>
      <family val="2"/>
      <charset val="204"/>
    </font>
    <font>
      <i/>
      <sz val="12"/>
      <color rgb="FF0000FF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0000FF"/>
      <name val="Arial"/>
      <family val="2"/>
      <charset val="204"/>
    </font>
    <font>
      <b/>
      <sz val="12"/>
      <color theme="0" tint="-0.499984740745262"/>
      <name val="Arial"/>
      <family val="2"/>
      <charset val="204"/>
    </font>
    <font>
      <sz val="12"/>
      <color theme="0" tint="-0.499984740745262"/>
      <name val="Arial"/>
      <family val="2"/>
      <charset val="204"/>
    </font>
    <font>
      <i/>
      <sz val="12"/>
      <color theme="0" tint="-0.499984740745262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color theme="0" tint="-0.34998626667073579"/>
      <name val="Arial"/>
      <family val="2"/>
      <charset val="204"/>
    </font>
    <font>
      <b/>
      <i/>
      <sz val="12"/>
      <color theme="0" tint="-0.34998626667073579"/>
      <name val="Arial"/>
      <family val="2"/>
      <charset val="204"/>
    </font>
    <font>
      <sz val="12"/>
      <color theme="1"/>
      <name val="Helvetica"/>
      <charset val="204"/>
    </font>
    <font>
      <b/>
      <sz val="24"/>
      <color rgb="FF7030A0"/>
      <name val="Helvetica"/>
      <charset val="204"/>
    </font>
    <font>
      <b/>
      <sz val="14"/>
      <color theme="0"/>
      <name val="Helvetica"/>
      <charset val="204"/>
    </font>
    <font>
      <sz val="14"/>
      <name val="Helvetica"/>
      <charset val="204"/>
    </font>
    <font>
      <sz val="14"/>
      <color theme="1"/>
      <name val="Helvetica"/>
      <charset val="204"/>
    </font>
    <font>
      <b/>
      <sz val="14"/>
      <color theme="1"/>
      <name val="Helvetica"/>
      <charset val="204"/>
    </font>
    <font>
      <b/>
      <sz val="14"/>
      <color rgb="FF0000FF"/>
      <name val="Helvetica"/>
      <charset val="204"/>
    </font>
    <font>
      <b/>
      <i/>
      <sz val="14"/>
      <color theme="0" tint="-0.499984740745262"/>
      <name val="Helvetica"/>
      <charset val="204"/>
    </font>
    <font>
      <sz val="14"/>
      <color theme="0"/>
      <name val="Helvetica"/>
      <charset val="204"/>
    </font>
    <font>
      <b/>
      <sz val="14"/>
      <color rgb="FF7030A0"/>
      <name val="Helvetica"/>
      <charset val="204"/>
    </font>
    <font>
      <b/>
      <sz val="14"/>
      <color rgb="FFC00000"/>
      <name val="Helvetica"/>
      <charset val="204"/>
    </font>
    <font>
      <b/>
      <sz val="14"/>
      <color theme="1"/>
      <name val="Century Gothic (Body)"/>
      <charset val="204"/>
    </font>
    <font>
      <sz val="14"/>
      <color theme="1"/>
      <name val="Century Gothic (Body)"/>
      <charset val="204"/>
    </font>
    <font>
      <b/>
      <sz val="14"/>
      <name val="Century Gothic (Body)"/>
      <charset val="204"/>
    </font>
    <font>
      <b/>
      <sz val="14"/>
      <color theme="0" tint="-0.499984740745262"/>
      <name val="Helvetica"/>
      <charset val="204"/>
    </font>
    <font>
      <sz val="14"/>
      <color theme="0" tint="-0.499984740745262"/>
      <name val="Helvetica"/>
      <charset val="204"/>
    </font>
    <font>
      <sz val="12"/>
      <color theme="0"/>
      <name val="Helvetica"/>
      <charset val="204"/>
    </font>
    <font>
      <sz val="12"/>
      <color theme="0" tint="-0.499984740745262"/>
      <name val="Helvetica"/>
      <charset val="204"/>
    </font>
    <font>
      <b/>
      <i/>
      <sz val="14"/>
      <color theme="1"/>
      <name val="Helvetica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FF"/>
      <name val="Calibri"/>
      <family val="2"/>
      <scheme val="minor"/>
    </font>
    <font>
      <b/>
      <sz val="10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i/>
      <sz val="12"/>
      <color rgb="FFC0000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sz val="12"/>
      <color theme="0" tint="-0.249977111117893"/>
      <name val="Arial"/>
      <family val="2"/>
      <charset val="204"/>
    </font>
    <font>
      <sz val="12"/>
      <color theme="0" tint="-0.14999847407452621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rgb="FF000000"/>
      <name val="Century Gothic"/>
      <family val="2"/>
      <charset val="204"/>
    </font>
    <font>
      <sz val="10"/>
      <color theme="1"/>
      <name val="Century Gothic"/>
      <family val="2"/>
      <charset val="204"/>
    </font>
    <font>
      <b/>
      <sz val="10"/>
      <color rgb="FFFFFFFF"/>
      <name val="Century Gothic"/>
      <family val="2"/>
      <charset val="204"/>
    </font>
    <font>
      <b/>
      <sz val="12"/>
      <color rgb="FFFFFFFF"/>
      <name val="Century Gothic"/>
      <family val="2"/>
      <charset val="204"/>
    </font>
    <font>
      <b/>
      <sz val="8"/>
      <color rgb="FFFFFFFF"/>
      <name val="Century Gothic"/>
      <family val="2"/>
      <charset val="204"/>
    </font>
    <font>
      <b/>
      <sz val="10"/>
      <color theme="1"/>
      <name val="Century Gothic"/>
      <family val="2"/>
      <charset val="204"/>
    </font>
    <font>
      <b/>
      <sz val="8"/>
      <color theme="1"/>
      <name val="Century Gothic"/>
      <family val="2"/>
      <charset val="204"/>
    </font>
    <font>
      <sz val="8"/>
      <color theme="1"/>
      <name val="Century Gothic"/>
      <family val="2"/>
      <charset val="204"/>
    </font>
    <font>
      <sz val="10"/>
      <color rgb="FF000000"/>
      <name val="Century Gothic"/>
      <family val="2"/>
      <charset val="204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  <charset val="204"/>
    </font>
    <font>
      <sz val="14"/>
      <color theme="0"/>
      <name val="Arial"/>
      <family val="2"/>
      <charset val="204"/>
    </font>
    <font>
      <i/>
      <sz val="14"/>
      <color theme="0"/>
      <name val="Arial"/>
      <family val="2"/>
      <charset val="204"/>
    </font>
    <font>
      <b/>
      <i/>
      <sz val="14"/>
      <color theme="0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rgb="FF0000FF"/>
      <name val="Arial"/>
      <family val="2"/>
      <charset val="204"/>
    </font>
    <font>
      <i/>
      <sz val="14"/>
      <color theme="1"/>
      <name val="Arial"/>
      <family val="2"/>
      <charset val="204"/>
    </font>
    <font>
      <i/>
      <sz val="14"/>
      <color theme="1" tint="0.499984740745262"/>
      <name val="Arial"/>
      <family val="2"/>
      <charset val="204"/>
    </font>
    <font>
      <i/>
      <sz val="14"/>
      <color theme="0" tint="-0.249977111117893"/>
      <name val="Arial"/>
      <family val="2"/>
      <charset val="204"/>
    </font>
    <font>
      <b/>
      <i/>
      <sz val="12"/>
      <color theme="0"/>
      <name val="Arial"/>
      <family val="2"/>
      <charset val="204"/>
    </font>
    <font>
      <b/>
      <sz val="12"/>
      <color rgb="FFC00000"/>
      <name val="Arial"/>
      <family val="2"/>
      <charset val="204"/>
    </font>
    <font>
      <sz val="14"/>
      <color theme="0" tint="-0.249977111117893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FF"/>
      <name val="Arial"/>
      <family val="2"/>
      <charset val="204"/>
    </font>
    <font>
      <sz val="10"/>
      <color rgb="FF0000FF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14"/>
      <color rgb="FFC00000"/>
      <name val="Helvetica"/>
      <charset val="204"/>
    </font>
    <font>
      <i/>
      <sz val="14"/>
      <color theme="1"/>
      <name val="Helvetica"/>
      <charset val="204"/>
    </font>
    <font>
      <sz val="14"/>
      <color rgb="FFFF0000"/>
      <name val="Helvetica"/>
      <charset val="204"/>
    </font>
    <font>
      <b/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4"/>
      <color theme="0" tint="-0.14999847407452621"/>
      <name val="Helvetica"/>
      <charset val="204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theme="0" tint="-0.49998474074526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2" fillId="10" borderId="22" applyNumberFormat="0" applyFont="0" applyAlignment="0" applyProtection="0"/>
    <xf numFmtId="168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2" fillId="10" borderId="22" applyNumberFormat="0" applyFont="0" applyAlignment="0" applyProtection="0"/>
    <xf numFmtId="168" fontId="3" fillId="0" borderId="0" applyFont="0" applyFill="0" applyBorder="0" applyAlignment="0" applyProtection="0"/>
  </cellStyleXfs>
  <cellXfs count="529">
    <xf numFmtId="0" fontId="0" fillId="0" borderId="0" xfId="0"/>
    <xf numFmtId="0" fontId="6" fillId="0" borderId="0" xfId="0" applyFont="1" applyProtection="1">
      <protection hidden="1"/>
    </xf>
    <xf numFmtId="0" fontId="7" fillId="2" borderId="0" xfId="0" applyFont="1" applyFill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164" fontId="9" fillId="0" borderId="0" xfId="0" applyNumberFormat="1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7" fillId="3" borderId="0" xfId="0" applyFont="1" applyFill="1" applyProtection="1">
      <protection hidden="1"/>
    </xf>
    <xf numFmtId="0" fontId="7" fillId="3" borderId="0" xfId="0" applyFont="1" applyFill="1" applyAlignment="1" applyProtection="1">
      <alignment horizontal="center"/>
      <protection hidden="1"/>
    </xf>
    <xf numFmtId="0" fontId="7" fillId="4" borderId="0" xfId="0" applyFont="1" applyFill="1" applyProtection="1">
      <protection hidden="1"/>
    </xf>
    <xf numFmtId="3" fontId="9" fillId="0" borderId="0" xfId="0" applyNumberFormat="1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left"/>
      <protection hidden="1"/>
    </xf>
    <xf numFmtId="164" fontId="10" fillId="0" borderId="0" xfId="0" applyNumberFormat="1" applyFont="1" applyAlignment="1" applyProtection="1">
      <alignment horizontal="center"/>
      <protection hidden="1"/>
    </xf>
    <xf numFmtId="165" fontId="9" fillId="0" borderId="0" xfId="0" applyNumberFormat="1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left" indent="1"/>
      <protection hidden="1"/>
    </xf>
    <xf numFmtId="3" fontId="8" fillId="0" borderId="0" xfId="0" applyNumberFormat="1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14" fontId="9" fillId="0" borderId="0" xfId="0" applyNumberFormat="1" applyFont="1" applyAlignment="1" applyProtection="1">
      <alignment horizontal="center"/>
      <protection hidden="1"/>
    </xf>
    <xf numFmtId="14" fontId="10" fillId="0" borderId="0" xfId="0" applyNumberFormat="1" applyFont="1" applyAlignment="1" applyProtection="1">
      <alignment horizontal="center"/>
      <protection hidden="1"/>
    </xf>
    <xf numFmtId="0" fontId="13" fillId="4" borderId="0" xfId="0" applyFont="1" applyFill="1" applyAlignment="1" applyProtection="1">
      <alignment horizontal="center"/>
      <protection hidden="1"/>
    </xf>
    <xf numFmtId="0" fontId="7" fillId="4" borderId="0" xfId="0" applyFont="1" applyFill="1" applyAlignment="1" applyProtection="1">
      <alignment vertical="center"/>
      <protection hidden="1"/>
    </xf>
    <xf numFmtId="0" fontId="7" fillId="4" borderId="0" xfId="0" applyFont="1" applyFill="1" applyAlignment="1" applyProtection="1">
      <alignment horizontal="center" vertical="center"/>
      <protection hidden="1"/>
    </xf>
    <xf numFmtId="0" fontId="9" fillId="0" borderId="0" xfId="0" applyFont="1" applyFill="1" applyProtection="1">
      <protection hidden="1"/>
    </xf>
    <xf numFmtId="0" fontId="12" fillId="0" borderId="0" xfId="0" applyFont="1" applyFill="1" applyProtection="1"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3" fontId="9" fillId="0" borderId="0" xfId="0" applyNumberFormat="1" applyFont="1" applyAlignment="1" applyProtection="1">
      <alignment horizontal="center" vertical="center"/>
      <protection hidden="1"/>
    </xf>
    <xf numFmtId="9" fontId="9" fillId="0" borderId="0" xfId="2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164" fontId="9" fillId="0" borderId="0" xfId="2" applyNumberFormat="1" applyFont="1" applyAlignment="1" applyProtection="1">
      <alignment horizontal="center" vertical="center"/>
      <protection hidden="1"/>
    </xf>
    <xf numFmtId="3" fontId="10" fillId="0" borderId="0" xfId="3" applyNumberFormat="1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64" fontId="9" fillId="0" borderId="0" xfId="2" applyNumberFormat="1" applyFont="1" applyAlignment="1" applyProtection="1">
      <alignment horizontal="center"/>
      <protection hidden="1"/>
    </xf>
    <xf numFmtId="164" fontId="12" fillId="0" borderId="0" xfId="0" applyNumberFormat="1" applyFont="1" applyAlignment="1" applyProtection="1">
      <alignment horizontal="center"/>
      <protection hidden="1"/>
    </xf>
    <xf numFmtId="3" fontId="10" fillId="0" borderId="0" xfId="0" applyNumberFormat="1" applyFont="1" applyAlignment="1" applyProtection="1">
      <alignment horizontal="center"/>
      <protection hidden="1"/>
    </xf>
    <xf numFmtId="3" fontId="10" fillId="0" borderId="0" xfId="0" applyNumberFormat="1" applyFont="1" applyAlignment="1" applyProtection="1">
      <alignment horizontal="center" vertical="center"/>
      <protection hidden="1"/>
    </xf>
    <xf numFmtId="0" fontId="14" fillId="0" borderId="0" xfId="0" applyFont="1" applyFill="1" applyAlignment="1" applyProtection="1">
      <alignment horizontal="center"/>
      <protection hidden="1"/>
    </xf>
    <xf numFmtId="3" fontId="15" fillId="0" borderId="0" xfId="0" applyNumberFormat="1" applyFont="1" applyAlignment="1" applyProtection="1">
      <alignment horizontal="center"/>
      <protection hidden="1"/>
    </xf>
    <xf numFmtId="0" fontId="13" fillId="0" borderId="0" xfId="0" applyFont="1" applyAlignment="1" applyProtection="1">
      <alignment vertical="center"/>
      <protection hidden="1"/>
    </xf>
    <xf numFmtId="3" fontId="13" fillId="0" borderId="0" xfId="0" applyNumberFormat="1" applyFont="1" applyAlignment="1" applyProtection="1">
      <alignment horizontal="center" vertical="center"/>
      <protection hidden="1"/>
    </xf>
    <xf numFmtId="9" fontId="13" fillId="0" borderId="0" xfId="2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vertical="center"/>
      <protection hidden="1"/>
    </xf>
    <xf numFmtId="3" fontId="13" fillId="0" borderId="1" xfId="0" applyNumberFormat="1" applyFont="1" applyBorder="1" applyAlignment="1" applyProtection="1">
      <alignment horizontal="center" vertical="center"/>
      <protection hidden="1"/>
    </xf>
    <xf numFmtId="9" fontId="13" fillId="0" borderId="1" xfId="2" applyFont="1" applyBorder="1" applyAlignment="1" applyProtection="1">
      <alignment horizontal="center" vertical="center"/>
      <protection hidden="1"/>
    </xf>
    <xf numFmtId="17" fontId="9" fillId="0" borderId="0" xfId="0" applyNumberFormat="1" applyFont="1" applyAlignment="1" applyProtection="1">
      <alignment horizontal="center"/>
      <protection hidden="1"/>
    </xf>
    <xf numFmtId="3" fontId="9" fillId="0" borderId="0" xfId="0" applyNumberFormat="1" applyFont="1" applyProtection="1">
      <protection hidden="1"/>
    </xf>
    <xf numFmtId="0" fontId="7" fillId="4" borderId="0" xfId="0" applyFont="1" applyFill="1" applyBorder="1" applyProtection="1">
      <protection hidden="1"/>
    </xf>
    <xf numFmtId="0" fontId="9" fillId="0" borderId="0" xfId="0" applyFont="1" applyBorder="1" applyProtection="1">
      <protection hidden="1"/>
    </xf>
    <xf numFmtId="3" fontId="9" fillId="0" borderId="0" xfId="0" applyNumberFormat="1" applyFont="1" applyBorder="1" applyAlignment="1" applyProtection="1">
      <alignment horizontal="center"/>
      <protection hidden="1"/>
    </xf>
    <xf numFmtId="3" fontId="11" fillId="0" borderId="0" xfId="0" applyNumberFormat="1" applyFont="1" applyAlignment="1" applyProtection="1">
      <alignment horizontal="center"/>
      <protection hidden="1"/>
    </xf>
    <xf numFmtId="0" fontId="13" fillId="0" borderId="1" xfId="0" applyFont="1" applyBorder="1" applyProtection="1">
      <protection hidden="1"/>
    </xf>
    <xf numFmtId="3" fontId="13" fillId="0" borderId="1" xfId="0" applyNumberFormat="1" applyFont="1" applyBorder="1" applyAlignment="1" applyProtection="1">
      <alignment horizontal="center"/>
      <protection hidden="1"/>
    </xf>
    <xf numFmtId="0" fontId="9" fillId="0" borderId="0" xfId="3" applyFont="1" applyProtection="1">
      <protection hidden="1"/>
    </xf>
    <xf numFmtId="3" fontId="9" fillId="0" borderId="0" xfId="3" applyNumberFormat="1" applyFont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3" fontId="15" fillId="0" borderId="0" xfId="0" applyNumberFormat="1" applyFont="1" applyAlignment="1" applyProtection="1">
      <alignment horizontal="center" vertical="center"/>
      <protection hidden="1"/>
    </xf>
    <xf numFmtId="167" fontId="16" fillId="0" borderId="0" xfId="0" applyNumberFormat="1" applyFont="1" applyAlignment="1" applyProtection="1">
      <alignment horizontal="center"/>
      <protection hidden="1"/>
    </xf>
    <xf numFmtId="17" fontId="7" fillId="4" borderId="0" xfId="0" applyNumberFormat="1" applyFont="1" applyFill="1" applyAlignment="1" applyProtection="1">
      <alignment horizontal="left"/>
      <protection hidden="1"/>
    </xf>
    <xf numFmtId="17" fontId="7" fillId="4" borderId="0" xfId="0" applyNumberFormat="1" applyFont="1" applyFill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164" fontId="9" fillId="0" borderId="0" xfId="4" applyNumberFormat="1" applyFont="1" applyAlignment="1" applyProtection="1">
      <alignment horizontal="center"/>
      <protection hidden="1"/>
    </xf>
    <xf numFmtId="3" fontId="9" fillId="0" borderId="0" xfId="0" applyNumberFormat="1" applyFont="1" applyFill="1" applyAlignment="1" applyProtection="1">
      <alignment horizontal="center"/>
      <protection hidden="1"/>
    </xf>
    <xf numFmtId="17" fontId="9" fillId="0" borderId="0" xfId="0" applyNumberFormat="1" applyFont="1" applyFill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166" fontId="7" fillId="4" borderId="0" xfId="1" applyNumberFormat="1" applyFont="1" applyFill="1" applyAlignment="1" applyProtection="1">
      <alignment horizontal="right"/>
      <protection hidden="1"/>
    </xf>
    <xf numFmtId="17" fontId="7" fillId="2" borderId="3" xfId="0" applyNumberFormat="1" applyFont="1" applyFill="1" applyBorder="1" applyAlignment="1" applyProtection="1">
      <alignment horizontal="center"/>
      <protection hidden="1"/>
    </xf>
    <xf numFmtId="17" fontId="12" fillId="0" borderId="0" xfId="3" applyNumberFormat="1" applyFont="1" applyBorder="1" applyAlignment="1" applyProtection="1">
      <alignment vertical="center"/>
      <protection hidden="1"/>
    </xf>
    <xf numFmtId="3" fontId="12" fillId="0" borderId="2" xfId="0" applyNumberFormat="1" applyFont="1" applyBorder="1" applyAlignment="1" applyProtection="1">
      <alignment horizontal="center"/>
      <protection hidden="1"/>
    </xf>
    <xf numFmtId="167" fontId="16" fillId="0" borderId="0" xfId="0" applyNumberFormat="1" applyFont="1" applyFill="1" applyAlignment="1" applyProtection="1">
      <alignment horizontal="center"/>
      <protection hidden="1"/>
    </xf>
    <xf numFmtId="0" fontId="14" fillId="0" borderId="1" xfId="0" applyFont="1" applyFill="1" applyBorder="1" applyProtection="1">
      <protection hidden="1"/>
    </xf>
    <xf numFmtId="3" fontId="14" fillId="0" borderId="1" xfId="0" applyNumberFormat="1" applyFont="1" applyFill="1" applyBorder="1" applyAlignment="1" applyProtection="1">
      <alignment horizontal="center"/>
      <protection hidden="1"/>
    </xf>
    <xf numFmtId="3" fontId="14" fillId="0" borderId="1" xfId="0" applyNumberFormat="1" applyFont="1" applyFill="1" applyBorder="1" applyAlignment="1" applyProtection="1">
      <alignment horizontal="right"/>
      <protection hidden="1"/>
    </xf>
    <xf numFmtId="3" fontId="15" fillId="0" borderId="3" xfId="0" applyNumberFormat="1" applyFont="1" applyFill="1" applyBorder="1" applyAlignment="1" applyProtection="1">
      <alignment horizontal="center"/>
      <protection hidden="1"/>
    </xf>
    <xf numFmtId="3" fontId="14" fillId="0" borderId="1" xfId="0" applyNumberFormat="1" applyFont="1" applyFill="1" applyBorder="1" applyAlignment="1">
      <alignment horizontal="center"/>
    </xf>
    <xf numFmtId="17" fontId="17" fillId="0" borderId="0" xfId="3" applyNumberFormat="1" applyFont="1" applyBorder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17" fontId="18" fillId="0" borderId="0" xfId="3" applyNumberFormat="1" applyFont="1" applyBorder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164" fontId="18" fillId="0" borderId="0" xfId="2" applyNumberFormat="1" applyFont="1" applyAlignment="1" applyProtection="1">
      <alignment horizontal="center"/>
      <protection hidden="1"/>
    </xf>
    <xf numFmtId="3" fontId="18" fillId="0" borderId="0" xfId="0" applyNumberFormat="1" applyFont="1" applyAlignment="1" applyProtection="1">
      <alignment horizontal="center"/>
      <protection hidden="1"/>
    </xf>
    <xf numFmtId="167" fontId="12" fillId="0" borderId="0" xfId="0" applyNumberFormat="1" applyFont="1" applyFill="1" applyAlignment="1" applyProtection="1">
      <alignment horizontal="center"/>
      <protection hidden="1"/>
    </xf>
    <xf numFmtId="167" fontId="12" fillId="0" borderId="0" xfId="0" applyNumberFormat="1" applyFont="1" applyAlignment="1" applyProtection="1">
      <alignment horizontal="center"/>
      <protection hidden="1"/>
    </xf>
    <xf numFmtId="167" fontId="14" fillId="0" borderId="1" xfId="0" applyNumberFormat="1" applyFont="1" applyFill="1" applyBorder="1" applyAlignment="1" applyProtection="1">
      <alignment horizontal="center"/>
      <protection hidden="1"/>
    </xf>
    <xf numFmtId="164" fontId="12" fillId="0" borderId="0" xfId="2" applyNumberFormat="1" applyFont="1" applyFill="1" applyBorder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13" fillId="0" borderId="1" xfId="0" applyFont="1" applyFill="1" applyBorder="1" applyProtection="1">
      <protection hidden="1"/>
    </xf>
    <xf numFmtId="3" fontId="21" fillId="0" borderId="0" xfId="0" applyNumberFormat="1" applyFont="1" applyBorder="1" applyAlignment="1" applyProtection="1">
      <alignment horizontal="center"/>
      <protection hidden="1"/>
    </xf>
    <xf numFmtId="3" fontId="21" fillId="0" borderId="0" xfId="0" applyNumberFormat="1" applyFont="1" applyBorder="1" applyAlignment="1" applyProtection="1">
      <alignment horizontal="right"/>
      <protection hidden="1"/>
    </xf>
    <xf numFmtId="167" fontId="9" fillId="0" borderId="0" xfId="0" applyNumberFormat="1" applyFont="1" applyProtection="1">
      <protection hidden="1"/>
    </xf>
    <xf numFmtId="9" fontId="17" fillId="0" borderId="0" xfId="2" applyFont="1" applyProtection="1">
      <protection hidden="1"/>
    </xf>
    <xf numFmtId="3" fontId="13" fillId="0" borderId="0" xfId="0" applyNumberFormat="1" applyFont="1" applyFill="1" applyProtection="1"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14" fillId="0" borderId="1" xfId="0" applyNumberFormat="1" applyFont="1" applyBorder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9" fontId="14" fillId="0" borderId="0" xfId="2" applyFont="1" applyBorder="1" applyAlignment="1" applyProtection="1">
      <alignment vertical="center"/>
      <protection hidden="1"/>
    </xf>
    <xf numFmtId="9" fontId="14" fillId="0" borderId="0" xfId="2" applyFont="1" applyProtection="1">
      <protection hidden="1"/>
    </xf>
    <xf numFmtId="167" fontId="12" fillId="0" borderId="0" xfId="0" applyNumberFormat="1" applyFont="1" applyFill="1" applyBorder="1" applyAlignment="1" applyProtection="1">
      <alignment horizontal="center"/>
      <protection hidden="1"/>
    </xf>
    <xf numFmtId="17" fontId="0" fillId="0" borderId="0" xfId="0" applyNumberFormat="1"/>
    <xf numFmtId="10" fontId="0" fillId="0" borderId="0" xfId="2" applyNumberFormat="1" applyFont="1"/>
    <xf numFmtId="3" fontId="0" fillId="0" borderId="0" xfId="0" applyNumberFormat="1"/>
    <xf numFmtId="169" fontId="0" fillId="0" borderId="0" xfId="0" applyNumberFormat="1"/>
    <xf numFmtId="3" fontId="0" fillId="0" borderId="0" xfId="1" applyNumberFormat="1" applyFont="1" applyAlignment="1">
      <alignment horizontal="center"/>
    </xf>
    <xf numFmtId="9" fontId="0" fillId="0" borderId="0" xfId="2" applyFont="1"/>
    <xf numFmtId="170" fontId="18" fillId="0" borderId="2" xfId="1" applyNumberFormat="1" applyFont="1" applyBorder="1" applyAlignment="1" applyProtection="1">
      <alignment horizontal="center"/>
      <protection hidden="1"/>
    </xf>
    <xf numFmtId="3" fontId="14" fillId="0" borderId="2" xfId="0" applyNumberFormat="1" applyFont="1" applyFill="1" applyBorder="1" applyAlignment="1" applyProtection="1">
      <alignment horizontal="center"/>
      <protection hidden="1"/>
    </xf>
    <xf numFmtId="43" fontId="9" fillId="0" borderId="0" xfId="1" applyFont="1" applyAlignment="1" applyProtection="1">
      <alignment horizontal="center"/>
      <protection hidden="1"/>
    </xf>
    <xf numFmtId="17" fontId="9" fillId="0" borderId="0" xfId="0" applyNumberFormat="1" applyFont="1" applyProtection="1">
      <protection hidden="1"/>
    </xf>
    <xf numFmtId="0" fontId="9" fillId="0" borderId="0" xfId="0" applyFont="1" applyAlignment="1" applyProtection="1">
      <alignment horizontal="left" indent="1"/>
      <protection hidden="1"/>
    </xf>
    <xf numFmtId="164" fontId="10" fillId="0" borderId="0" xfId="2" applyNumberFormat="1" applyFont="1" applyFill="1" applyAlignment="1" applyProtection="1">
      <alignment horizontal="center"/>
      <protection hidden="1"/>
    </xf>
    <xf numFmtId="164" fontId="10" fillId="0" borderId="0" xfId="2" applyNumberFormat="1" applyFont="1" applyAlignment="1" applyProtection="1">
      <alignment horizontal="center"/>
      <protection hidden="1"/>
    </xf>
    <xf numFmtId="0" fontId="7" fillId="4" borderId="0" xfId="0" applyFont="1" applyFill="1" applyAlignment="1" applyProtection="1">
      <alignment horizontal="center"/>
      <protection hidden="1"/>
    </xf>
    <xf numFmtId="10" fontId="10" fillId="0" borderId="0" xfId="2" applyNumberFormat="1" applyFont="1" applyFill="1" applyAlignment="1" applyProtection="1">
      <alignment horizontal="center"/>
      <protection hidden="1"/>
    </xf>
    <xf numFmtId="17" fontId="18" fillId="0" borderId="0" xfId="3" applyNumberFormat="1" applyFont="1" applyBorder="1" applyAlignment="1" applyProtection="1">
      <alignment horizontal="left" vertical="center" indent="1"/>
      <protection hidden="1"/>
    </xf>
    <xf numFmtId="3" fontId="13" fillId="0" borderId="3" xfId="0" applyNumberFormat="1" applyFont="1" applyFill="1" applyBorder="1" applyAlignment="1" applyProtection="1">
      <alignment horizontal="center"/>
      <protection hidden="1"/>
    </xf>
    <xf numFmtId="167" fontId="12" fillId="0" borderId="2" xfId="0" applyNumberFormat="1" applyFont="1" applyFill="1" applyBorder="1" applyAlignment="1" applyProtection="1">
      <alignment horizontal="center"/>
      <protection hidden="1"/>
    </xf>
    <xf numFmtId="165" fontId="10" fillId="0" borderId="0" xfId="0" applyNumberFormat="1" applyFont="1" applyAlignment="1" applyProtection="1">
      <alignment horizontal="center"/>
      <protection hidden="1"/>
    </xf>
    <xf numFmtId="164" fontId="10" fillId="0" borderId="0" xfId="0" applyNumberFormat="1" applyFont="1" applyFill="1" applyAlignment="1" applyProtection="1">
      <alignment horizontal="center"/>
      <protection hidden="1"/>
    </xf>
    <xf numFmtId="17" fontId="36" fillId="0" borderId="0" xfId="0" applyNumberFormat="1" applyFont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9" fontId="18" fillId="0" borderId="0" xfId="2" applyFont="1" applyProtection="1">
      <protection hidden="1"/>
    </xf>
    <xf numFmtId="9" fontId="18" fillId="0" borderId="0" xfId="2" applyFont="1" applyBorder="1" applyAlignment="1" applyProtection="1">
      <alignment horizontal="left" vertical="center" indent="1"/>
      <protection hidden="1"/>
    </xf>
    <xf numFmtId="0" fontId="22" fillId="0" borderId="0" xfId="0" applyFont="1" applyAlignment="1" applyProtection="1">
      <alignment horizontal="left" indent="1"/>
      <protection hidden="1"/>
    </xf>
    <xf numFmtId="3" fontId="12" fillId="0" borderId="0" xfId="0" applyNumberFormat="1" applyFont="1" applyFill="1" applyBorder="1" applyAlignment="1" applyProtection="1">
      <alignment horizontal="center"/>
      <protection hidden="1"/>
    </xf>
    <xf numFmtId="164" fontId="18" fillId="0" borderId="0" xfId="2" applyNumberFormat="1" applyFont="1" applyBorder="1" applyAlignment="1" applyProtection="1">
      <alignment horizontal="center"/>
      <protection hidden="1"/>
    </xf>
    <xf numFmtId="167" fontId="22" fillId="0" borderId="0" xfId="0" applyNumberFormat="1" applyFont="1" applyProtection="1">
      <protection hidden="1"/>
    </xf>
    <xf numFmtId="3" fontId="29" fillId="0" borderId="7" xfId="3" applyNumberFormat="1" applyFont="1" applyBorder="1" applyAlignment="1" applyProtection="1">
      <alignment horizontal="center"/>
      <protection locked="0"/>
    </xf>
    <xf numFmtId="9" fontId="10" fillId="0" borderId="0" xfId="2" applyFont="1" applyFill="1" applyAlignment="1" applyProtection="1">
      <alignment horizontal="center"/>
      <protection hidden="1"/>
    </xf>
    <xf numFmtId="164" fontId="13" fillId="0" borderId="7" xfId="2" applyNumberFormat="1" applyFont="1" applyFill="1" applyBorder="1" applyAlignment="1" applyProtection="1">
      <alignment horizontal="center"/>
      <protection hidden="1"/>
    </xf>
    <xf numFmtId="3" fontId="10" fillId="0" borderId="0" xfId="0" applyNumberFormat="1" applyFont="1" applyFill="1" applyAlignment="1" applyProtection="1">
      <alignment horizontal="center" vertical="center"/>
      <protection hidden="1"/>
    </xf>
    <xf numFmtId="3" fontId="7" fillId="2" borderId="0" xfId="0" applyNumberFormat="1" applyFont="1" applyFill="1" applyAlignment="1" applyProtection="1">
      <alignment horizontal="center"/>
      <protection locked="0" hidden="1"/>
    </xf>
    <xf numFmtId="3" fontId="0" fillId="0" borderId="0" xfId="2" applyNumberFormat="1" applyFont="1"/>
    <xf numFmtId="0" fontId="3" fillId="0" borderId="0" xfId="6"/>
    <xf numFmtId="0" fontId="42" fillId="8" borderId="8" xfId="6" applyFont="1" applyFill="1" applyBorder="1" applyAlignment="1">
      <alignment horizontal="center" wrapText="1"/>
    </xf>
    <xf numFmtId="0" fontId="3" fillId="7" borderId="0" xfId="6" applyFill="1"/>
    <xf numFmtId="17" fontId="43" fillId="7" borderId="8" xfId="6" quotePrefix="1" applyNumberFormat="1" applyFont="1" applyFill="1" applyBorder="1" applyAlignment="1">
      <alignment horizontal="left" wrapText="1"/>
    </xf>
    <xf numFmtId="3" fontId="3" fillId="7" borderId="8" xfId="6" applyNumberFormat="1" applyFill="1" applyBorder="1" applyAlignment="1">
      <alignment horizontal="center" wrapText="1"/>
    </xf>
    <xf numFmtId="0" fontId="3" fillId="7" borderId="8" xfId="6" applyFill="1" applyBorder="1" applyAlignment="1">
      <alignment wrapText="1"/>
    </xf>
    <xf numFmtId="3" fontId="3" fillId="7" borderId="8" xfId="6" applyNumberFormat="1" applyFill="1" applyBorder="1" applyAlignment="1">
      <alignment horizontal="center"/>
    </xf>
    <xf numFmtId="3" fontId="3" fillId="7" borderId="14" xfId="6" applyNumberFormat="1" applyFill="1" applyBorder="1" applyAlignment="1">
      <alignment horizontal="center" wrapText="1"/>
    </xf>
    <xf numFmtId="0" fontId="43" fillId="7" borderId="15" xfId="6" applyFont="1" applyFill="1" applyBorder="1" applyAlignment="1">
      <alignment wrapText="1"/>
    </xf>
    <xf numFmtId="3" fontId="43" fillId="7" borderId="16" xfId="6" applyNumberFormat="1" applyFont="1" applyFill="1" applyBorder="1" applyAlignment="1">
      <alignment horizontal="center" wrapText="1"/>
    </xf>
    <xf numFmtId="3" fontId="1" fillId="7" borderId="16" xfId="6" applyNumberFormat="1" applyFont="1" applyFill="1" applyBorder="1" applyAlignment="1">
      <alignment horizontal="center" wrapText="1"/>
    </xf>
    <xf numFmtId="0" fontId="3" fillId="7" borderId="17" xfId="6" applyFill="1" applyBorder="1" applyAlignment="1">
      <alignment wrapText="1"/>
    </xf>
    <xf numFmtId="3" fontId="3" fillId="7" borderId="17" xfId="6" applyNumberFormat="1" applyFill="1" applyBorder="1" applyAlignment="1">
      <alignment horizontal="center" wrapText="1"/>
    </xf>
    <xf numFmtId="3" fontId="43" fillId="7" borderId="18" xfId="6" applyNumberFormat="1" applyFont="1" applyFill="1" applyBorder="1" applyAlignment="1">
      <alignment horizontal="center" wrapText="1"/>
    </xf>
    <xf numFmtId="0" fontId="1" fillId="7" borderId="8" xfId="6" applyFont="1" applyFill="1" applyBorder="1" applyAlignment="1">
      <alignment wrapText="1"/>
    </xf>
    <xf numFmtId="0" fontId="3" fillId="7" borderId="14" xfId="6" applyFill="1" applyBorder="1" applyAlignment="1">
      <alignment wrapText="1"/>
    </xf>
    <xf numFmtId="0" fontId="3" fillId="0" borderId="17" xfId="6" applyBorder="1" applyAlignment="1">
      <alignment wrapText="1"/>
    </xf>
    <xf numFmtId="0" fontId="43" fillId="7" borderId="19" xfId="6" applyFont="1" applyFill="1" applyBorder="1" applyAlignment="1">
      <alignment wrapText="1"/>
    </xf>
    <xf numFmtId="3" fontId="43" fillId="7" borderId="20" xfId="6" applyNumberFormat="1" applyFont="1" applyFill="1" applyBorder="1" applyAlignment="1">
      <alignment horizontal="center" wrapText="1"/>
    </xf>
    <xf numFmtId="0" fontId="3" fillId="0" borderId="8" xfId="6" applyBorder="1" applyAlignment="1">
      <alignment wrapText="1"/>
    </xf>
    <xf numFmtId="0" fontId="3" fillId="0" borderId="0" xfId="6" applyAlignment="1">
      <alignment wrapText="1"/>
    </xf>
    <xf numFmtId="3" fontId="12" fillId="0" borderId="2" xfId="0" applyNumberFormat="1" applyFont="1" applyFill="1" applyBorder="1" applyAlignment="1" applyProtection="1">
      <alignment horizontal="center"/>
      <protection hidden="1"/>
    </xf>
    <xf numFmtId="0" fontId="19" fillId="0" borderId="2" xfId="0" applyFont="1" applyFill="1" applyBorder="1" applyProtection="1">
      <protection hidden="1"/>
    </xf>
    <xf numFmtId="3" fontId="20" fillId="0" borderId="2" xfId="0" applyNumberFormat="1" applyFont="1" applyFill="1" applyBorder="1" applyAlignment="1" applyProtection="1">
      <alignment horizontal="center"/>
      <protection hidden="1"/>
    </xf>
    <xf numFmtId="164" fontId="12" fillId="0" borderId="2" xfId="2" applyNumberFormat="1" applyFont="1" applyFill="1" applyBorder="1" applyAlignment="1" applyProtection="1">
      <alignment horizontal="center"/>
      <protection hidden="1"/>
    </xf>
    <xf numFmtId="3" fontId="9" fillId="0" borderId="2" xfId="0" applyNumberFormat="1" applyFont="1" applyBorder="1" applyAlignment="1" applyProtection="1">
      <alignment horizontal="center"/>
      <protection hidden="1"/>
    </xf>
    <xf numFmtId="3" fontId="14" fillId="0" borderId="3" xfId="0" applyNumberFormat="1" applyFont="1" applyFill="1" applyBorder="1" applyAlignment="1" applyProtection="1">
      <alignment horizontal="center"/>
      <protection hidden="1"/>
    </xf>
    <xf numFmtId="10" fontId="12" fillId="0" borderId="2" xfId="2" applyNumberFormat="1" applyFont="1" applyFill="1" applyBorder="1" applyAlignment="1" applyProtection="1">
      <alignment horizontal="center"/>
      <protection hidden="1"/>
    </xf>
    <xf numFmtId="3" fontId="19" fillId="0" borderId="2" xfId="0" applyNumberFormat="1" applyFont="1" applyFill="1" applyBorder="1" applyAlignment="1" applyProtection="1">
      <alignment horizontal="center"/>
      <protection hidden="1"/>
    </xf>
    <xf numFmtId="0" fontId="12" fillId="0" borderId="2" xfId="0" applyFont="1" applyFill="1" applyBorder="1" applyProtection="1">
      <protection hidden="1"/>
    </xf>
    <xf numFmtId="164" fontId="14" fillId="0" borderId="2" xfId="2" applyNumberFormat="1" applyFont="1" applyFill="1" applyBorder="1" applyAlignment="1" applyProtection="1">
      <alignment horizontal="center"/>
      <protection hidden="1"/>
    </xf>
    <xf numFmtId="9" fontId="19" fillId="0" borderId="2" xfId="2" applyFont="1" applyFill="1" applyBorder="1" applyAlignment="1" applyProtection="1">
      <alignment horizontal="center"/>
      <protection hidden="1"/>
    </xf>
    <xf numFmtId="0" fontId="14" fillId="0" borderId="3" xfId="0" applyFont="1" applyFill="1" applyBorder="1" applyAlignment="1" applyProtection="1">
      <alignment horizontal="center"/>
      <protection hidden="1"/>
    </xf>
    <xf numFmtId="10" fontId="14" fillId="0" borderId="2" xfId="2" applyNumberFormat="1" applyFont="1" applyFill="1" applyBorder="1" applyAlignment="1" applyProtection="1">
      <alignment horizontal="center"/>
      <protection hidden="1"/>
    </xf>
    <xf numFmtId="17" fontId="7" fillId="2" borderId="21" xfId="0" applyNumberFormat="1" applyFont="1" applyFill="1" applyBorder="1" applyAlignment="1" applyProtection="1">
      <alignment horizontal="center"/>
      <protection hidden="1"/>
    </xf>
    <xf numFmtId="3" fontId="15" fillId="6" borderId="8" xfId="0" applyNumberFormat="1" applyFont="1" applyFill="1" applyBorder="1" applyAlignment="1" applyProtection="1">
      <alignment horizontal="center"/>
      <protection hidden="1"/>
    </xf>
    <xf numFmtId="170" fontId="18" fillId="6" borderId="21" xfId="1" applyNumberFormat="1" applyFont="1" applyFill="1" applyBorder="1" applyAlignment="1" applyProtection="1">
      <alignment horizontal="center"/>
      <protection hidden="1"/>
    </xf>
    <xf numFmtId="9" fontId="17" fillId="6" borderId="21" xfId="2" applyFont="1" applyFill="1" applyBorder="1" applyAlignment="1" applyProtection="1">
      <alignment horizontal="center"/>
      <protection hidden="1"/>
    </xf>
    <xf numFmtId="170" fontId="11" fillId="6" borderId="21" xfId="1" applyNumberFormat="1" applyFont="1" applyFill="1" applyBorder="1" applyAlignment="1" applyProtection="1">
      <alignment horizontal="center"/>
      <protection hidden="1"/>
    </xf>
    <xf numFmtId="9" fontId="10" fillId="6" borderId="21" xfId="2" applyFont="1" applyFill="1" applyBorder="1" applyAlignment="1" applyProtection="1">
      <alignment horizontal="center"/>
      <protection hidden="1"/>
    </xf>
    <xf numFmtId="167" fontId="10" fillId="6" borderId="21" xfId="0" applyNumberFormat="1" applyFont="1" applyFill="1" applyBorder="1" applyAlignment="1" applyProtection="1">
      <alignment horizontal="center"/>
      <protection hidden="1"/>
    </xf>
    <xf numFmtId="167" fontId="10" fillId="6" borderId="14" xfId="0" applyNumberFormat="1" applyFont="1" applyFill="1" applyBorder="1" applyAlignment="1" applyProtection="1">
      <alignment horizontal="center"/>
      <protection hidden="1"/>
    </xf>
    <xf numFmtId="0" fontId="18" fillId="6" borderId="17" xfId="0" applyFont="1" applyFill="1" applyBorder="1" applyAlignment="1" applyProtection="1">
      <alignment horizontal="center"/>
      <protection hidden="1"/>
    </xf>
    <xf numFmtId="167" fontId="15" fillId="6" borderId="8" xfId="0" applyNumberFormat="1" applyFont="1" applyFill="1" applyBorder="1" applyAlignment="1" applyProtection="1">
      <alignment horizontal="center"/>
      <protection hidden="1"/>
    </xf>
    <xf numFmtId="164" fontId="11" fillId="6" borderId="21" xfId="2" applyNumberFormat="1" applyFont="1" applyFill="1" applyBorder="1" applyAlignment="1" applyProtection="1">
      <alignment horizontal="center"/>
      <protection hidden="1"/>
    </xf>
    <xf numFmtId="167" fontId="11" fillId="6" borderId="21" xfId="1" applyNumberFormat="1" applyFont="1" applyFill="1" applyBorder="1" applyAlignment="1" applyProtection="1">
      <alignment horizontal="center"/>
      <protection hidden="1"/>
    </xf>
    <xf numFmtId="167" fontId="10" fillId="6" borderId="21" xfId="1" applyNumberFormat="1" applyFont="1" applyFill="1" applyBorder="1" applyAlignment="1" applyProtection="1">
      <alignment horizontal="center"/>
      <protection hidden="1"/>
    </xf>
    <xf numFmtId="167" fontId="10" fillId="0" borderId="0" xfId="0" applyNumberFormat="1" applyFont="1" applyFill="1" applyAlignment="1" applyProtection="1">
      <alignment horizontal="center"/>
      <protection hidden="1"/>
    </xf>
    <xf numFmtId="167" fontId="15" fillId="6" borderId="21" xfId="0" applyNumberFormat="1" applyFont="1" applyFill="1" applyBorder="1" applyAlignment="1" applyProtection="1">
      <alignment horizontal="center"/>
      <protection hidden="1"/>
    </xf>
    <xf numFmtId="3" fontId="15" fillId="6" borderId="21" xfId="0" applyNumberFormat="1" applyFont="1" applyFill="1" applyBorder="1" applyAlignment="1" applyProtection="1">
      <alignment horizontal="center"/>
      <protection hidden="1"/>
    </xf>
    <xf numFmtId="9" fontId="11" fillId="6" borderId="21" xfId="2" applyFont="1" applyFill="1" applyBorder="1" applyAlignment="1" applyProtection="1">
      <alignment horizontal="center"/>
      <protection hidden="1"/>
    </xf>
    <xf numFmtId="3" fontId="10" fillId="6" borderId="21" xfId="0" applyNumberFormat="1" applyFont="1" applyFill="1" applyBorder="1" applyAlignment="1" applyProtection="1">
      <alignment horizontal="center"/>
      <protection hidden="1"/>
    </xf>
    <xf numFmtId="164" fontId="18" fillId="6" borderId="21" xfId="2" applyNumberFormat="1" applyFont="1" applyFill="1" applyBorder="1" applyAlignment="1" applyProtection="1">
      <alignment horizontal="center"/>
      <protection hidden="1"/>
    </xf>
    <xf numFmtId="3" fontId="18" fillId="6" borderId="21" xfId="0" applyNumberFormat="1" applyFont="1" applyFill="1" applyBorder="1" applyAlignment="1" applyProtection="1">
      <alignment horizontal="center"/>
      <protection hidden="1"/>
    </xf>
    <xf numFmtId="0" fontId="47" fillId="0" borderId="0" xfId="0" applyFont="1" applyProtection="1">
      <protection hidden="1"/>
    </xf>
    <xf numFmtId="167" fontId="47" fillId="0" borderId="0" xfId="0" applyNumberFormat="1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48" fillId="0" borderId="0" xfId="0" applyFont="1" applyProtection="1">
      <protection hidden="1"/>
    </xf>
    <xf numFmtId="0" fontId="48" fillId="0" borderId="0" xfId="0" applyFont="1" applyAlignment="1" applyProtection="1">
      <alignment horizontal="center"/>
      <protection hidden="1"/>
    </xf>
    <xf numFmtId="167" fontId="9" fillId="0" borderId="0" xfId="0" applyNumberFormat="1" applyFont="1" applyAlignment="1" applyProtection="1">
      <alignment horizontal="center"/>
      <protection hidden="1"/>
    </xf>
    <xf numFmtId="0" fontId="45" fillId="0" borderId="0" xfId="0" applyFont="1"/>
    <xf numFmtId="3" fontId="3" fillId="0" borderId="0" xfId="6" applyNumberFormat="1" applyAlignment="1">
      <alignment wrapText="1"/>
    </xf>
    <xf numFmtId="0" fontId="43" fillId="0" borderId="0" xfId="6" applyFont="1" applyAlignment="1">
      <alignment horizontal="center" wrapText="1"/>
    </xf>
    <xf numFmtId="0" fontId="3" fillId="0" borderId="0" xfId="6" applyAlignment="1">
      <alignment horizontal="center" wrapText="1"/>
    </xf>
    <xf numFmtId="3" fontId="43" fillId="0" borderId="0" xfId="6" applyNumberFormat="1" applyFont="1" applyAlignment="1">
      <alignment wrapText="1"/>
    </xf>
    <xf numFmtId="14" fontId="3" fillId="0" borderId="13" xfId="6" applyNumberFormat="1" applyBorder="1" applyAlignment="1">
      <alignment horizontal="center" wrapText="1"/>
    </xf>
    <xf numFmtId="14" fontId="3" fillId="0" borderId="13" xfId="6" applyNumberFormat="1" applyBorder="1" applyAlignment="1">
      <alignment wrapText="1"/>
    </xf>
    <xf numFmtId="0" fontId="3" fillId="0" borderId="13" xfId="6" applyBorder="1" applyAlignment="1">
      <alignment wrapText="1"/>
    </xf>
    <xf numFmtId="9" fontId="3" fillId="0" borderId="0" xfId="6" applyNumberFormat="1" applyAlignment="1">
      <alignment horizontal="left" wrapText="1"/>
    </xf>
    <xf numFmtId="164" fontId="0" fillId="0" borderId="0" xfId="2" applyNumberFormat="1" applyFont="1"/>
    <xf numFmtId="3" fontId="45" fillId="0" borderId="0" xfId="0" applyNumberFormat="1" applyFont="1"/>
    <xf numFmtId="0" fontId="45" fillId="0" borderId="0" xfId="0" applyFont="1" applyAlignment="1">
      <alignment horizontal="center"/>
    </xf>
    <xf numFmtId="164" fontId="49" fillId="0" borderId="0" xfId="2" applyNumberFormat="1" applyFont="1"/>
    <xf numFmtId="164" fontId="45" fillId="0" borderId="0" xfId="2" applyNumberFormat="1" applyFont="1"/>
    <xf numFmtId="4" fontId="0" fillId="0" borderId="0" xfId="0" applyNumberFormat="1"/>
    <xf numFmtId="9" fontId="9" fillId="0" borderId="0" xfId="0" applyNumberFormat="1" applyFont="1" applyAlignment="1" applyProtection="1">
      <alignment horizontal="center"/>
      <protection hidden="1"/>
    </xf>
    <xf numFmtId="3" fontId="0" fillId="11" borderId="17" xfId="0" applyNumberFormat="1" applyFill="1" applyBorder="1" applyAlignment="1">
      <alignment horizontal="center" wrapText="1"/>
    </xf>
    <xf numFmtId="167" fontId="11" fillId="10" borderId="8" xfId="7" applyNumberFormat="1" applyFont="1" applyBorder="1" applyAlignment="1" applyProtection="1">
      <alignment horizontal="center"/>
      <protection hidden="1"/>
    </xf>
    <xf numFmtId="43" fontId="9" fillId="0" borderId="0" xfId="1" applyFont="1" applyFill="1" applyAlignment="1" applyProtection="1">
      <alignment horizontal="center"/>
      <protection hidden="1"/>
    </xf>
    <xf numFmtId="167" fontId="14" fillId="0" borderId="2" xfId="0" applyNumberFormat="1" applyFont="1" applyFill="1" applyBorder="1" applyAlignment="1" applyProtection="1">
      <alignment horizontal="center"/>
      <protection hidden="1"/>
    </xf>
    <xf numFmtId="0" fontId="7" fillId="4" borderId="24" xfId="0" applyFont="1" applyFill="1" applyBorder="1" applyAlignment="1" applyProtection="1">
      <alignment horizontal="center"/>
      <protection hidden="1"/>
    </xf>
    <xf numFmtId="0" fontId="7" fillId="4" borderId="25" xfId="0" applyFont="1" applyFill="1" applyBorder="1" applyAlignment="1" applyProtection="1">
      <alignment horizontal="center"/>
      <protection hidden="1"/>
    </xf>
    <xf numFmtId="0" fontId="7" fillId="4" borderId="23" xfId="0" applyFont="1" applyFill="1" applyBorder="1" applyAlignment="1" applyProtection="1">
      <alignment horizontal="center"/>
      <protection hidden="1"/>
    </xf>
    <xf numFmtId="166" fontId="9" fillId="0" borderId="0" xfId="1" applyNumberFormat="1" applyFont="1" applyAlignment="1" applyProtection="1">
      <alignment horizontal="center"/>
      <protection hidden="1"/>
    </xf>
    <xf numFmtId="3" fontId="50" fillId="0" borderId="0" xfId="3" applyNumberFormat="1" applyFont="1" applyAlignment="1" applyProtection="1">
      <alignment horizontal="center"/>
      <protection hidden="1"/>
    </xf>
    <xf numFmtId="3" fontId="51" fillId="0" borderId="0" xfId="0" applyNumberFormat="1" applyFont="1" applyAlignment="1" applyProtection="1">
      <alignment horizontal="center"/>
      <protection hidden="1"/>
    </xf>
    <xf numFmtId="3" fontId="3" fillId="9" borderId="0" xfId="6" applyNumberFormat="1" applyFill="1" applyAlignment="1"/>
    <xf numFmtId="0" fontId="44" fillId="0" borderId="0" xfId="6" applyFont="1" applyAlignment="1"/>
    <xf numFmtId="164" fontId="9" fillId="0" borderId="0" xfId="2" applyNumberFormat="1" applyFont="1" applyProtection="1">
      <protection hidden="1"/>
    </xf>
    <xf numFmtId="166" fontId="3" fillId="0" borderId="0" xfId="1" applyNumberFormat="1" applyFont="1" applyAlignment="1">
      <alignment wrapText="1"/>
    </xf>
    <xf numFmtId="0" fontId="7" fillId="4" borderId="0" xfId="0" applyFont="1" applyFill="1" applyBorder="1" applyAlignment="1" applyProtection="1">
      <alignment horizontal="center"/>
      <protection hidden="1"/>
    </xf>
    <xf numFmtId="17" fontId="52" fillId="5" borderId="0" xfId="0" applyNumberFormat="1" applyFont="1" applyFill="1" applyAlignment="1">
      <alignment horizontal="center"/>
    </xf>
    <xf numFmtId="164" fontId="10" fillId="6" borderId="21" xfId="2" applyNumberFormat="1" applyFont="1" applyFill="1" applyBorder="1" applyAlignment="1" applyProtection="1">
      <alignment horizontal="center"/>
      <protection hidden="1"/>
    </xf>
    <xf numFmtId="3" fontId="3" fillId="7" borderId="0" xfId="6" applyNumberFormat="1" applyFill="1"/>
    <xf numFmtId="167" fontId="3" fillId="0" borderId="0" xfId="3" applyNumberFormat="1" applyAlignment="1">
      <alignment vertical="top"/>
    </xf>
    <xf numFmtId="167" fontId="3" fillId="0" borderId="0" xfId="3" applyNumberFormat="1"/>
    <xf numFmtId="167" fontId="43" fillId="0" borderId="0" xfId="3" applyNumberFormat="1" applyFont="1"/>
    <xf numFmtId="167" fontId="0" fillId="0" borderId="0" xfId="8" applyNumberFormat="1" applyFont="1"/>
    <xf numFmtId="9" fontId="3" fillId="0" borderId="0" xfId="9" applyFont="1"/>
    <xf numFmtId="167" fontId="54" fillId="0" borderId="0" xfId="3" applyNumberFormat="1" applyFont="1" applyAlignment="1">
      <alignment vertical="top" wrapText="1"/>
    </xf>
    <xf numFmtId="167" fontId="55" fillId="13" borderId="26" xfId="10" applyNumberFormat="1" applyFont="1" applyFill="1" applyBorder="1" applyAlignment="1">
      <alignment horizontal="center" vertical="center" wrapText="1"/>
    </xf>
    <xf numFmtId="167" fontId="55" fillId="14" borderId="1" xfId="10" applyNumberFormat="1" applyFont="1" applyFill="1" applyBorder="1" applyAlignment="1">
      <alignment horizontal="center" vertical="center" wrapText="1"/>
    </xf>
    <xf numFmtId="167" fontId="55" fillId="13" borderId="1" xfId="10" applyNumberFormat="1" applyFont="1" applyFill="1" applyBorder="1" applyAlignment="1">
      <alignment horizontal="center" vertical="center" wrapText="1"/>
    </xf>
    <xf numFmtId="167" fontId="55" fillId="13" borderId="3" xfId="10" applyNumberFormat="1" applyFont="1" applyFill="1" applyBorder="1" applyAlignment="1">
      <alignment horizontal="center" vertical="center" wrapText="1"/>
    </xf>
    <xf numFmtId="167" fontId="56" fillId="13" borderId="1" xfId="10" applyNumberFormat="1" applyFont="1" applyFill="1" applyBorder="1" applyAlignment="1">
      <alignment horizontal="center" vertical="center" wrapText="1"/>
    </xf>
    <xf numFmtId="167" fontId="57" fillId="13" borderId="1" xfId="10" applyNumberFormat="1" applyFont="1" applyFill="1" applyBorder="1" applyAlignment="1">
      <alignment horizontal="center" vertical="center" wrapText="1"/>
    </xf>
    <xf numFmtId="167" fontId="58" fillId="15" borderId="11" xfId="3" quotePrefix="1" applyNumberFormat="1" applyFont="1" applyFill="1" applyBorder="1" applyAlignment="1">
      <alignment horizontal="left" vertical="center" wrapText="1"/>
    </xf>
    <xf numFmtId="167" fontId="58" fillId="16" borderId="0" xfId="8" applyNumberFormat="1" applyFont="1" applyFill="1" applyBorder="1" applyAlignment="1">
      <alignment horizontal="center" vertical="center" wrapText="1"/>
    </xf>
    <xf numFmtId="167" fontId="58" fillId="15" borderId="1" xfId="8" applyNumberFormat="1" applyFont="1" applyFill="1" applyBorder="1" applyAlignment="1">
      <alignment horizontal="center" vertical="center" wrapText="1"/>
    </xf>
    <xf numFmtId="167" fontId="58" fillId="15" borderId="3" xfId="8" applyNumberFormat="1" applyFont="1" applyFill="1" applyBorder="1" applyAlignment="1">
      <alignment horizontal="center" vertical="center" wrapText="1"/>
    </xf>
    <xf numFmtId="167" fontId="59" fillId="15" borderId="0" xfId="8" applyNumberFormat="1" applyFont="1" applyFill="1" applyBorder="1" applyAlignment="1">
      <alignment horizontal="center" vertical="center" wrapText="1"/>
    </xf>
    <xf numFmtId="167" fontId="54" fillId="15" borderId="9" xfId="3" quotePrefix="1" applyNumberFormat="1" applyFont="1" applyFill="1" applyBorder="1" applyAlignment="1">
      <alignment horizontal="left" vertical="center" wrapText="1"/>
    </xf>
    <xf numFmtId="167" fontId="54" fillId="16" borderId="10" xfId="8" applyNumberFormat="1" applyFont="1" applyFill="1" applyBorder="1" applyAlignment="1">
      <alignment horizontal="center" vertical="center" wrapText="1"/>
    </xf>
    <xf numFmtId="167" fontId="54" fillId="15" borderId="0" xfId="8" applyNumberFormat="1" applyFont="1" applyFill="1" applyBorder="1" applyAlignment="1">
      <alignment horizontal="center" vertical="center" wrapText="1"/>
    </xf>
    <xf numFmtId="167" fontId="54" fillId="15" borderId="2" xfId="8" applyNumberFormat="1" applyFont="1" applyFill="1" applyBorder="1" applyAlignment="1">
      <alignment horizontal="center" vertical="center" wrapText="1"/>
    </xf>
    <xf numFmtId="167" fontId="60" fillId="15" borderId="10" xfId="8" applyNumberFormat="1" applyFont="1" applyFill="1" applyBorder="1" applyAlignment="1">
      <alignment horizontal="center" vertical="center" wrapText="1"/>
    </xf>
    <xf numFmtId="167" fontId="54" fillId="15" borderId="11" xfId="3" quotePrefix="1" applyNumberFormat="1" applyFont="1" applyFill="1" applyBorder="1" applyAlignment="1">
      <alignment horizontal="left" vertical="center" wrapText="1"/>
    </xf>
    <xf numFmtId="167" fontId="54" fillId="16" borderId="0" xfId="8" applyNumberFormat="1" applyFont="1" applyFill="1" applyBorder="1" applyAlignment="1">
      <alignment horizontal="center" vertical="center" wrapText="1"/>
    </xf>
    <xf numFmtId="167" fontId="60" fillId="15" borderId="0" xfId="8" applyNumberFormat="1" applyFont="1" applyFill="1" applyBorder="1" applyAlignment="1">
      <alignment horizontal="center" vertical="center" wrapText="1"/>
    </xf>
    <xf numFmtId="10" fontId="43" fillId="0" borderId="0" xfId="11" applyNumberFormat="1" applyFont="1"/>
    <xf numFmtId="167" fontId="54" fillId="15" borderId="11" xfId="3" applyNumberFormat="1" applyFont="1" applyFill="1" applyBorder="1" applyAlignment="1">
      <alignment vertical="center" wrapText="1"/>
    </xf>
    <xf numFmtId="167" fontId="3" fillId="0" borderId="0" xfId="3" applyNumberFormat="1" applyAlignment="1">
      <alignment vertical="center"/>
    </xf>
    <xf numFmtId="167" fontId="54" fillId="15" borderId="12" xfId="3" applyNumberFormat="1" applyFont="1" applyFill="1" applyBorder="1" applyAlignment="1">
      <alignment vertical="center" wrapText="1"/>
    </xf>
    <xf numFmtId="167" fontId="54" fillId="15" borderId="13" xfId="8" applyNumberFormat="1" applyFont="1" applyFill="1" applyBorder="1" applyAlignment="1">
      <alignment horizontal="center" vertical="center" wrapText="1"/>
    </xf>
    <xf numFmtId="167" fontId="54" fillId="15" borderId="5" xfId="8" applyNumberFormat="1" applyFont="1" applyFill="1" applyBorder="1" applyAlignment="1">
      <alignment horizontal="center" vertical="center" wrapText="1"/>
    </xf>
    <xf numFmtId="167" fontId="60" fillId="15" borderId="13" xfId="8" applyNumberFormat="1" applyFont="1" applyFill="1" applyBorder="1" applyAlignment="1">
      <alignment horizontal="center" vertical="center" wrapText="1"/>
    </xf>
    <xf numFmtId="167" fontId="53" fillId="15" borderId="26" xfId="3" applyNumberFormat="1" applyFont="1" applyFill="1" applyBorder="1" applyAlignment="1">
      <alignment vertical="center" wrapText="1"/>
    </xf>
    <xf numFmtId="167" fontId="58" fillId="16" borderId="1" xfId="8" applyNumberFormat="1" applyFont="1" applyFill="1" applyBorder="1" applyAlignment="1">
      <alignment horizontal="center" vertical="center" wrapText="1"/>
    </xf>
    <xf numFmtId="167" fontId="59" fillId="15" borderId="1" xfId="8" applyNumberFormat="1" applyFont="1" applyFill="1" applyBorder="1" applyAlignment="1">
      <alignment horizontal="center" vertical="center" wrapText="1"/>
    </xf>
    <xf numFmtId="167" fontId="61" fillId="15" borderId="11" xfId="3" applyNumberFormat="1" applyFont="1" applyFill="1" applyBorder="1" applyAlignment="1">
      <alignment vertical="center" wrapText="1"/>
    </xf>
    <xf numFmtId="167" fontId="53" fillId="15" borderId="11" xfId="3" applyNumberFormat="1" applyFont="1" applyFill="1" applyBorder="1" applyAlignment="1">
      <alignment vertical="center" wrapText="1"/>
    </xf>
    <xf numFmtId="167" fontId="58" fillId="15" borderId="0" xfId="8" applyNumberFormat="1" applyFont="1" applyFill="1" applyBorder="1" applyAlignment="1">
      <alignment horizontal="center" vertical="center" wrapText="1"/>
    </xf>
    <xf numFmtId="167" fontId="58" fillId="15" borderId="2" xfId="8" applyNumberFormat="1" applyFont="1" applyFill="1" applyBorder="1" applyAlignment="1">
      <alignment horizontal="center" vertical="center" wrapText="1"/>
    </xf>
    <xf numFmtId="167" fontId="58" fillId="15" borderId="26" xfId="3" applyNumberFormat="1" applyFont="1" applyFill="1" applyBorder="1" applyAlignment="1">
      <alignment vertical="center" wrapText="1"/>
    </xf>
    <xf numFmtId="10" fontId="3" fillId="0" borderId="0" xfId="11" applyNumberFormat="1"/>
    <xf numFmtId="167" fontId="53" fillId="15" borderId="9" xfId="3" applyNumberFormat="1" applyFont="1" applyFill="1" applyBorder="1" applyAlignment="1">
      <alignment vertical="center" wrapText="1"/>
    </xf>
    <xf numFmtId="167" fontId="58" fillId="16" borderId="10" xfId="8" applyNumberFormat="1" applyFont="1" applyFill="1" applyBorder="1" applyAlignment="1">
      <alignment horizontal="center" vertical="center" wrapText="1"/>
    </xf>
    <xf numFmtId="167" fontId="58" fillId="15" borderId="10" xfId="8" applyNumberFormat="1" applyFont="1" applyFill="1" applyBorder="1" applyAlignment="1">
      <alignment horizontal="center" vertical="center" wrapText="1"/>
    </xf>
    <xf numFmtId="167" fontId="58" fillId="15" borderId="4" xfId="8" applyNumberFormat="1" applyFont="1" applyFill="1" applyBorder="1" applyAlignment="1">
      <alignment horizontal="center" vertical="center" wrapText="1"/>
    </xf>
    <xf numFmtId="167" fontId="59" fillId="15" borderId="10" xfId="8" applyNumberFormat="1" applyFont="1" applyFill="1" applyBorder="1" applyAlignment="1">
      <alignment horizontal="center" vertical="center" wrapText="1"/>
    </xf>
    <xf numFmtId="167" fontId="53" fillId="15" borderId="12" xfId="3" applyNumberFormat="1" applyFont="1" applyFill="1" applyBorder="1" applyAlignment="1">
      <alignment vertical="center" wrapText="1"/>
    </xf>
    <xf numFmtId="167" fontId="58" fillId="16" borderId="13" xfId="8" applyNumberFormat="1" applyFont="1" applyFill="1" applyBorder="1" applyAlignment="1">
      <alignment horizontal="center" vertical="center" wrapText="1"/>
    </xf>
    <xf numFmtId="167" fontId="58" fillId="15" borderId="13" xfId="8" applyNumberFormat="1" applyFont="1" applyFill="1" applyBorder="1" applyAlignment="1">
      <alignment horizontal="center" vertical="center" wrapText="1"/>
    </xf>
    <xf numFmtId="167" fontId="58" fillId="15" borderId="5" xfId="8" applyNumberFormat="1" applyFont="1" applyFill="1" applyBorder="1" applyAlignment="1">
      <alignment horizontal="center" vertical="center" wrapText="1"/>
    </xf>
    <xf numFmtId="167" fontId="59" fillId="15" borderId="13" xfId="8" applyNumberFormat="1" applyFont="1" applyFill="1" applyBorder="1" applyAlignment="1">
      <alignment horizontal="center" vertical="center" wrapText="1"/>
    </xf>
    <xf numFmtId="164" fontId="58" fillId="16" borderId="13" xfId="2" applyNumberFormat="1" applyFont="1" applyFill="1" applyBorder="1" applyAlignment="1">
      <alignment horizontal="center" vertical="center" wrapText="1"/>
    </xf>
    <xf numFmtId="164" fontId="58" fillId="15" borderId="13" xfId="2" applyNumberFormat="1" applyFont="1" applyFill="1" applyBorder="1" applyAlignment="1">
      <alignment horizontal="center" vertical="center" wrapText="1"/>
    </xf>
    <xf numFmtId="164" fontId="58" fillId="15" borderId="5" xfId="2" applyNumberFormat="1" applyFont="1" applyFill="1" applyBorder="1" applyAlignment="1">
      <alignment horizontal="center" vertical="center" wrapText="1"/>
    </xf>
    <xf numFmtId="167" fontId="59" fillId="15" borderId="13" xfId="4" applyNumberFormat="1" applyFont="1" applyFill="1" applyBorder="1" applyAlignment="1">
      <alignment horizontal="center" vertical="center" wrapText="1"/>
    </xf>
    <xf numFmtId="167" fontId="60" fillId="15" borderId="0" xfId="8" applyNumberFormat="1" applyFont="1" applyFill="1" applyBorder="1" applyAlignment="1">
      <alignment horizontal="center" vertical="top" wrapText="1"/>
    </xf>
    <xf numFmtId="167" fontId="62" fillId="17" borderId="1" xfId="3" applyNumberFormat="1" applyFont="1" applyFill="1" applyBorder="1" applyAlignment="1">
      <alignment vertical="top"/>
    </xf>
    <xf numFmtId="167" fontId="62" fillId="17" borderId="1" xfId="3" applyNumberFormat="1" applyFont="1" applyFill="1" applyBorder="1" applyAlignment="1">
      <alignment horizontal="center"/>
    </xf>
    <xf numFmtId="167" fontId="63" fillId="0" borderId="0" xfId="3" applyNumberFormat="1" applyFont="1"/>
    <xf numFmtId="0" fontId="64" fillId="2" borderId="0" xfId="10" applyFont="1" applyFill="1"/>
    <xf numFmtId="0" fontId="64" fillId="2" borderId="0" xfId="10" applyFont="1" applyFill="1" applyAlignment="1">
      <alignment horizontal="center"/>
    </xf>
    <xf numFmtId="0" fontId="65" fillId="2" borderId="0" xfId="10" applyFont="1" applyFill="1"/>
    <xf numFmtId="3" fontId="65" fillId="2" borderId="0" xfId="10" applyNumberFormat="1" applyFont="1" applyFill="1" applyAlignment="1">
      <alignment horizontal="center" vertical="center"/>
    </xf>
    <xf numFmtId="3" fontId="66" fillId="4" borderId="0" xfId="10" applyNumberFormat="1" applyFont="1" applyFill="1" applyAlignment="1">
      <alignment horizontal="center" vertical="center"/>
    </xf>
    <xf numFmtId="0" fontId="65" fillId="4" borderId="0" xfId="10" applyFont="1" applyFill="1"/>
    <xf numFmtId="3" fontId="64" fillId="2" borderId="0" xfId="10" applyNumberFormat="1" applyFont="1" applyFill="1" applyAlignment="1">
      <alignment horizontal="center" vertical="center"/>
    </xf>
    <xf numFmtId="3" fontId="67" fillId="4" borderId="0" xfId="10" applyNumberFormat="1" applyFont="1" applyFill="1" applyAlignment="1">
      <alignment horizontal="center" vertical="center"/>
    </xf>
    <xf numFmtId="0" fontId="68" fillId="0" borderId="0" xfId="10" applyFont="1"/>
    <xf numFmtId="0" fontId="68" fillId="0" borderId="0" xfId="10" applyFont="1" applyAlignment="1">
      <alignment horizontal="center"/>
    </xf>
    <xf numFmtId="3" fontId="69" fillId="10" borderId="22" xfId="12" applyNumberFormat="1" applyFont="1" applyAlignment="1">
      <alignment horizontal="center"/>
    </xf>
    <xf numFmtId="3" fontId="70" fillId="0" borderId="0" xfId="10" applyNumberFormat="1" applyFont="1" applyAlignment="1">
      <alignment horizontal="center" vertical="center"/>
    </xf>
    <xf numFmtId="3" fontId="68" fillId="0" borderId="0" xfId="10" applyNumberFormat="1" applyFont="1"/>
    <xf numFmtId="164" fontId="70" fillId="0" borderId="0" xfId="2" applyNumberFormat="1" applyFont="1" applyAlignment="1">
      <alignment horizontal="center" vertical="center"/>
    </xf>
    <xf numFmtId="3" fontId="69" fillId="0" borderId="0" xfId="10" applyNumberFormat="1" applyFont="1" applyAlignment="1">
      <alignment horizontal="center" vertical="center"/>
    </xf>
    <xf numFmtId="3" fontId="71" fillId="0" borderId="0" xfId="10" applyNumberFormat="1" applyFont="1" applyAlignment="1">
      <alignment horizontal="center" vertical="center"/>
    </xf>
    <xf numFmtId="3" fontId="69" fillId="10" borderId="27" xfId="12" applyNumberFormat="1" applyFont="1" applyBorder="1" applyAlignment="1">
      <alignment horizontal="center" vertical="center"/>
    </xf>
    <xf numFmtId="3" fontId="71" fillId="10" borderId="27" xfId="12" applyNumberFormat="1" applyFont="1" applyBorder="1" applyAlignment="1">
      <alignment horizontal="center" vertical="center"/>
    </xf>
    <xf numFmtId="165" fontId="69" fillId="10" borderId="27" xfId="12" applyNumberFormat="1" applyFont="1" applyBorder="1" applyAlignment="1">
      <alignment horizontal="center" vertical="center"/>
    </xf>
    <xf numFmtId="3" fontId="72" fillId="0" borderId="0" xfId="10" applyNumberFormat="1" applyFont="1" applyAlignment="1">
      <alignment horizontal="center" vertical="center"/>
    </xf>
    <xf numFmtId="164" fontId="70" fillId="0" borderId="0" xfId="11" applyNumberFormat="1" applyFont="1" applyAlignment="1">
      <alignment horizontal="center" vertical="center"/>
    </xf>
    <xf numFmtId="14" fontId="64" fillId="2" borderId="0" xfId="10" applyNumberFormat="1" applyFont="1" applyFill="1" applyAlignment="1">
      <alignment horizontal="center" vertical="center"/>
    </xf>
    <xf numFmtId="166" fontId="3" fillId="7" borderId="0" xfId="6" applyNumberFormat="1" applyFill="1"/>
    <xf numFmtId="0" fontId="14" fillId="0" borderId="1" xfId="0" applyFont="1" applyBorder="1" applyAlignment="1" applyProtection="1">
      <alignment horizontal="center"/>
      <protection hidden="1"/>
    </xf>
    <xf numFmtId="3" fontId="12" fillId="12" borderId="8" xfId="0" applyNumberFormat="1" applyFont="1" applyFill="1" applyBorder="1" applyAlignment="1" applyProtection="1">
      <alignment horizontal="center"/>
      <protection hidden="1"/>
    </xf>
    <xf numFmtId="166" fontId="3" fillId="0" borderId="0" xfId="6" applyNumberFormat="1" applyAlignment="1">
      <alignment wrapText="1"/>
    </xf>
    <xf numFmtId="17" fontId="7" fillId="0" borderId="0" xfId="0" applyNumberFormat="1" applyFont="1" applyFill="1" applyAlignment="1" applyProtection="1">
      <alignment horizontal="center"/>
      <protection hidden="1"/>
    </xf>
    <xf numFmtId="0" fontId="73" fillId="4" borderId="17" xfId="0" applyFont="1" applyFill="1" applyBorder="1" applyAlignment="1" applyProtection="1">
      <alignment horizontal="center"/>
      <protection hidden="1"/>
    </xf>
    <xf numFmtId="3" fontId="10" fillId="10" borderId="8" xfId="7" applyNumberFormat="1" applyFont="1" applyBorder="1" applyAlignment="1" applyProtection="1">
      <alignment horizontal="center"/>
      <protection hidden="1"/>
    </xf>
    <xf numFmtId="164" fontId="10" fillId="10" borderId="8" xfId="2" applyNumberFormat="1" applyFont="1" applyFill="1" applyBorder="1" applyAlignment="1" applyProtection="1">
      <alignment horizontal="center"/>
      <protection hidden="1"/>
    </xf>
    <xf numFmtId="0" fontId="9" fillId="4" borderId="10" xfId="0" applyFont="1" applyFill="1" applyBorder="1" applyAlignment="1" applyProtection="1">
      <alignment horizontal="center"/>
      <protection hidden="1"/>
    </xf>
    <xf numFmtId="0" fontId="9" fillId="4" borderId="4" xfId="0" applyFont="1" applyFill="1" applyBorder="1" applyAlignment="1" applyProtection="1">
      <alignment horizontal="center"/>
      <protection hidden="1"/>
    </xf>
    <xf numFmtId="0" fontId="7" fillId="4" borderId="29" xfId="0" applyFont="1" applyFill="1" applyBorder="1" applyAlignment="1" applyProtection="1">
      <alignment horizontal="center"/>
      <protection hidden="1"/>
    </xf>
    <xf numFmtId="0" fontId="7" fillId="4" borderId="30" xfId="0" applyFont="1" applyFill="1" applyBorder="1" applyAlignment="1" applyProtection="1">
      <alignment horizontal="center"/>
      <protection hidden="1"/>
    </xf>
    <xf numFmtId="14" fontId="10" fillId="0" borderId="11" xfId="0" applyNumberFormat="1" applyFont="1" applyBorder="1" applyAlignment="1" applyProtection="1">
      <alignment horizontal="center"/>
      <protection hidden="1"/>
    </xf>
    <xf numFmtId="3" fontId="10" fillId="0" borderId="0" xfId="3" applyNumberFormat="1" applyFont="1" applyBorder="1" applyAlignment="1" applyProtection="1">
      <alignment horizontal="center"/>
      <protection hidden="1"/>
    </xf>
    <xf numFmtId="0" fontId="9" fillId="0" borderId="2" xfId="0" quotePrefix="1" applyFont="1" applyBorder="1" applyAlignment="1" applyProtection="1">
      <alignment horizontal="center"/>
      <protection hidden="1"/>
    </xf>
    <xf numFmtId="3" fontId="12" fillId="0" borderId="0" xfId="3" applyNumberFormat="1" applyFont="1" applyBorder="1" applyAlignment="1" applyProtection="1">
      <alignment horizontal="center"/>
      <protection hidden="1"/>
    </xf>
    <xf numFmtId="170" fontId="9" fillId="0" borderId="0" xfId="1" applyNumberFormat="1" applyFont="1" applyBorder="1" applyAlignment="1" applyProtection="1">
      <alignment horizontal="center"/>
      <protection hidden="1"/>
    </xf>
    <xf numFmtId="9" fontId="10" fillId="0" borderId="2" xfId="0" applyNumberFormat="1" applyFont="1" applyBorder="1" applyAlignment="1" applyProtection="1">
      <alignment horizontal="center"/>
      <protection hidden="1"/>
    </xf>
    <xf numFmtId="14" fontId="10" fillId="0" borderId="12" xfId="0" applyNumberFormat="1" applyFont="1" applyBorder="1" applyAlignment="1" applyProtection="1">
      <alignment horizontal="center"/>
      <protection hidden="1"/>
    </xf>
    <xf numFmtId="3" fontId="9" fillId="0" borderId="13" xfId="0" applyNumberFormat="1" applyFont="1" applyBorder="1" applyAlignment="1" applyProtection="1">
      <alignment horizontal="center"/>
      <protection hidden="1"/>
    </xf>
    <xf numFmtId="170" fontId="9" fillId="0" borderId="13" xfId="1" applyNumberFormat="1" applyFont="1" applyBorder="1" applyAlignment="1" applyProtection="1">
      <alignment horizontal="center"/>
      <protection hidden="1"/>
    </xf>
    <xf numFmtId="3" fontId="10" fillId="0" borderId="13" xfId="3" applyNumberFormat="1" applyFont="1" applyBorder="1" applyAlignment="1" applyProtection="1">
      <alignment horizontal="center"/>
      <protection hidden="1"/>
    </xf>
    <xf numFmtId="3" fontId="12" fillId="0" borderId="13" xfId="3" applyNumberFormat="1" applyFont="1" applyBorder="1" applyAlignment="1" applyProtection="1">
      <alignment horizontal="center"/>
      <protection hidden="1"/>
    </xf>
    <xf numFmtId="9" fontId="10" fillId="0" borderId="5" xfId="0" applyNumberFormat="1" applyFont="1" applyBorder="1" applyAlignment="1" applyProtection="1">
      <alignment horizontal="center"/>
      <protection hidden="1"/>
    </xf>
    <xf numFmtId="164" fontId="10" fillId="0" borderId="0" xfId="0" applyNumberFormat="1" applyFont="1" applyBorder="1" applyAlignment="1" applyProtection="1">
      <alignment horizontal="center"/>
      <protection hidden="1"/>
    </xf>
    <xf numFmtId="164" fontId="10" fillId="0" borderId="13" xfId="0" applyNumberFormat="1" applyFont="1" applyBorder="1" applyAlignment="1" applyProtection="1">
      <alignment horizontal="center"/>
      <protection hidden="1"/>
    </xf>
    <xf numFmtId="14" fontId="7" fillId="4" borderId="24" xfId="0" applyNumberFormat="1" applyFont="1" applyFill="1" applyBorder="1" applyAlignment="1" applyProtection="1">
      <alignment horizontal="center"/>
      <protection hidden="1"/>
    </xf>
    <xf numFmtId="14" fontId="7" fillId="4" borderId="31" xfId="0" applyNumberFormat="1" applyFont="1" applyFill="1" applyBorder="1" applyAlignment="1" applyProtection="1">
      <alignment horizontal="center"/>
      <protection hidden="1"/>
    </xf>
    <xf numFmtId="0" fontId="9" fillId="0" borderId="21" xfId="0" applyFont="1" applyBorder="1" applyProtection="1">
      <protection hidden="1"/>
    </xf>
    <xf numFmtId="0" fontId="9" fillId="0" borderId="13" xfId="0" applyFont="1" applyBorder="1" applyProtection="1">
      <protection hidden="1"/>
    </xf>
    <xf numFmtId="3" fontId="10" fillId="0" borderId="13" xfId="0" applyNumberFormat="1" applyFont="1" applyBorder="1" applyAlignment="1" applyProtection="1">
      <alignment horizontal="center"/>
      <protection hidden="1"/>
    </xf>
    <xf numFmtId="0" fontId="74" fillId="18" borderId="26" xfId="0" applyFont="1" applyFill="1" applyBorder="1" applyProtection="1">
      <protection hidden="1"/>
    </xf>
    <xf numFmtId="0" fontId="74" fillId="18" borderId="1" xfId="0" applyFont="1" applyFill="1" applyBorder="1" applyProtection="1">
      <protection hidden="1"/>
    </xf>
    <xf numFmtId="14" fontId="74" fillId="18" borderId="1" xfId="0" applyNumberFormat="1" applyFont="1" applyFill="1" applyBorder="1" applyAlignment="1" applyProtection="1">
      <alignment horizontal="center"/>
      <protection hidden="1"/>
    </xf>
    <xf numFmtId="0" fontId="74" fillId="0" borderId="13" xfId="0" applyFont="1" applyBorder="1" applyProtection="1">
      <protection hidden="1"/>
    </xf>
    <xf numFmtId="3" fontId="15" fillId="10" borderId="33" xfId="7" applyNumberFormat="1" applyFont="1" applyBorder="1" applyAlignment="1" applyProtection="1">
      <alignment horizontal="center"/>
      <protection hidden="1"/>
    </xf>
    <xf numFmtId="3" fontId="9" fillId="0" borderId="27" xfId="0" applyNumberFormat="1" applyFont="1" applyBorder="1" applyAlignment="1" applyProtection="1">
      <alignment horizontal="center"/>
      <protection hidden="1"/>
    </xf>
    <xf numFmtId="3" fontId="15" fillId="0" borderId="27" xfId="0" applyNumberFormat="1" applyFont="1" applyBorder="1" applyAlignment="1" applyProtection="1">
      <alignment horizontal="center"/>
      <protection hidden="1"/>
    </xf>
    <xf numFmtId="3" fontId="13" fillId="0" borderId="27" xfId="0" applyNumberFormat="1" applyFont="1" applyBorder="1" applyAlignment="1" applyProtection="1">
      <alignment horizontal="center"/>
      <protection hidden="1"/>
    </xf>
    <xf numFmtId="0" fontId="9" fillId="0" borderId="10" xfId="0" applyFont="1" applyBorder="1" applyProtection="1">
      <protection hidden="1"/>
    </xf>
    <xf numFmtId="0" fontId="13" fillId="0" borderId="17" xfId="0" applyFont="1" applyBorder="1" applyProtection="1">
      <protection hidden="1"/>
    </xf>
    <xf numFmtId="0" fontId="9" fillId="0" borderId="21" xfId="0" applyFont="1" applyBorder="1" applyAlignment="1" applyProtection="1">
      <alignment horizontal="left" indent="1"/>
      <protection hidden="1"/>
    </xf>
    <xf numFmtId="0" fontId="13" fillId="0" borderId="21" xfId="0" applyFont="1" applyBorder="1" applyProtection="1">
      <protection hidden="1"/>
    </xf>
    <xf numFmtId="17" fontId="7" fillId="0" borderId="21" xfId="0" applyNumberFormat="1" applyFont="1" applyFill="1" applyBorder="1" applyAlignment="1" applyProtection="1">
      <alignment horizontal="left"/>
      <protection hidden="1"/>
    </xf>
    <xf numFmtId="0" fontId="74" fillId="0" borderId="14" xfId="0" applyFont="1" applyBorder="1" applyProtection="1">
      <protection hidden="1"/>
    </xf>
    <xf numFmtId="0" fontId="13" fillId="0" borderId="14" xfId="0" applyFont="1" applyBorder="1" applyProtection="1">
      <protection hidden="1"/>
    </xf>
    <xf numFmtId="0" fontId="9" fillId="0" borderId="32" xfId="0" applyFont="1" applyBorder="1" applyAlignment="1" applyProtection="1">
      <protection hidden="1"/>
    </xf>
    <xf numFmtId="0" fontId="9" fillId="0" borderId="21" xfId="0" applyFont="1" applyBorder="1" applyAlignment="1" applyProtection="1">
      <protection hidden="1"/>
    </xf>
    <xf numFmtId="0" fontId="9" fillId="0" borderId="14" xfId="0" applyFont="1" applyBorder="1" applyAlignment="1" applyProtection="1">
      <protection hidden="1"/>
    </xf>
    <xf numFmtId="0" fontId="6" fillId="4" borderId="0" xfId="0" applyFont="1" applyFill="1" applyProtection="1">
      <protection hidden="1"/>
    </xf>
    <xf numFmtId="164" fontId="7" fillId="4" borderId="0" xfId="11" applyNumberFormat="1" applyFont="1" applyFill="1" applyAlignment="1" applyProtection="1">
      <alignment horizontal="center" vertical="center"/>
      <protection hidden="1"/>
    </xf>
    <xf numFmtId="164" fontId="9" fillId="0" borderId="0" xfId="0" applyNumberFormat="1" applyFont="1" applyProtection="1">
      <protection hidden="1"/>
    </xf>
    <xf numFmtId="164" fontId="7" fillId="4" borderId="0" xfId="0" quotePrefix="1" applyNumberFormat="1" applyFont="1" applyFill="1" applyAlignment="1" applyProtection="1">
      <alignment horizontal="center" vertical="center"/>
      <protection hidden="1"/>
    </xf>
    <xf numFmtId="164" fontId="16" fillId="0" borderId="0" xfId="11" applyNumberFormat="1" applyFont="1" applyProtection="1">
      <protection hidden="1"/>
    </xf>
    <xf numFmtId="164" fontId="16" fillId="0" borderId="0" xfId="11" applyNumberFormat="1" applyFont="1" applyAlignment="1" applyProtection="1">
      <alignment horizontal="center"/>
      <protection hidden="1"/>
    </xf>
    <xf numFmtId="167" fontId="13" fillId="0" borderId="1" xfId="0" applyNumberFormat="1" applyFont="1" applyBorder="1" applyAlignment="1" applyProtection="1">
      <alignment horizontal="center"/>
      <protection hidden="1"/>
    </xf>
    <xf numFmtId="0" fontId="13" fillId="0" borderId="1" xfId="0" applyFont="1" applyBorder="1" applyAlignment="1" applyProtection="1">
      <alignment horizontal="center"/>
      <protection hidden="1"/>
    </xf>
    <xf numFmtId="164" fontId="7" fillId="4" borderId="0" xfId="0" applyNumberFormat="1" applyFont="1" applyFill="1" applyAlignment="1" applyProtection="1">
      <alignment horizontal="center" vertical="center"/>
      <protection hidden="1"/>
    </xf>
    <xf numFmtId="3" fontId="13" fillId="0" borderId="0" xfId="0" applyNumberFormat="1" applyFont="1" applyProtection="1">
      <protection hidden="1"/>
    </xf>
    <xf numFmtId="0" fontId="7" fillId="5" borderId="0" xfId="0" applyFont="1" applyFill="1" applyProtection="1">
      <protection hidden="1"/>
    </xf>
    <xf numFmtId="167" fontId="7" fillId="5" borderId="0" xfId="0" applyNumberFormat="1" applyFont="1" applyFill="1" applyAlignment="1" applyProtection="1">
      <alignment vertical="center"/>
      <protection hidden="1"/>
    </xf>
    <xf numFmtId="0" fontId="7" fillId="5" borderId="0" xfId="0" applyFont="1" applyFill="1" applyAlignment="1" applyProtection="1">
      <alignment vertical="center"/>
      <protection hidden="1"/>
    </xf>
    <xf numFmtId="0" fontId="7" fillId="5" borderId="0" xfId="0" applyFont="1" applyFill="1" applyAlignment="1" applyProtection="1">
      <alignment horizontal="center" vertical="center"/>
      <protection hidden="1"/>
    </xf>
    <xf numFmtId="17" fontId="7" fillId="5" borderId="0" xfId="0" applyNumberFormat="1" applyFont="1" applyFill="1" applyAlignment="1" applyProtection="1">
      <alignment horizontal="center" vertical="center"/>
      <protection hidden="1"/>
    </xf>
    <xf numFmtId="164" fontId="7" fillId="5" borderId="0" xfId="11" applyNumberFormat="1" applyFont="1" applyFill="1" applyAlignment="1" applyProtection="1">
      <alignment horizontal="center" vertical="center"/>
      <protection hidden="1"/>
    </xf>
    <xf numFmtId="164" fontId="7" fillId="5" borderId="0" xfId="0" applyNumberFormat="1" applyFont="1" applyFill="1" applyAlignment="1" applyProtection="1">
      <alignment horizontal="center" vertical="center"/>
      <protection hidden="1"/>
    </xf>
    <xf numFmtId="3" fontId="64" fillId="2" borderId="0" xfId="10" quotePrefix="1" applyNumberFormat="1" applyFont="1" applyFill="1" applyAlignment="1">
      <alignment horizontal="center" vertical="center"/>
    </xf>
    <xf numFmtId="3" fontId="68" fillId="0" borderId="0" xfId="10" applyNumberFormat="1" applyFont="1" applyAlignment="1">
      <alignment horizontal="center" vertical="center"/>
    </xf>
    <xf numFmtId="3" fontId="75" fillId="0" borderId="0" xfId="10" applyNumberFormat="1" applyFont="1" applyAlignment="1">
      <alignment horizontal="center" vertical="center"/>
    </xf>
    <xf numFmtId="173" fontId="68" fillId="0" borderId="0" xfId="13" applyNumberFormat="1" applyFont="1" applyAlignment="1">
      <alignment horizontal="center" vertical="center"/>
    </xf>
    <xf numFmtId="164" fontId="71" fillId="0" borderId="0" xfId="2" applyNumberFormat="1" applyFont="1" applyAlignment="1">
      <alignment horizontal="center" vertical="center"/>
    </xf>
    <xf numFmtId="0" fontId="13" fillId="0" borderId="0" xfId="0" applyFont="1" applyAlignment="1" applyProtection="1">
      <alignment horizontal="center"/>
      <protection hidden="1"/>
    </xf>
    <xf numFmtId="0" fontId="42" fillId="5" borderId="0" xfId="0" applyFont="1" applyFill="1" applyAlignment="1">
      <alignment horizontal="left"/>
    </xf>
    <xf numFmtId="0" fontId="76" fillId="5" borderId="0" xfId="0" applyFont="1" applyFill="1" applyAlignment="1">
      <alignment horizontal="center"/>
    </xf>
    <xf numFmtId="0" fontId="76" fillId="5" borderId="0" xfId="0" applyFont="1" applyFill="1"/>
    <xf numFmtId="0" fontId="76" fillId="0" borderId="0" xfId="0" applyFont="1"/>
    <xf numFmtId="0" fontId="76" fillId="0" borderId="0" xfId="0" applyFont="1" applyAlignment="1">
      <alignment horizontal="left"/>
    </xf>
    <xf numFmtId="0" fontId="77" fillId="0" borderId="0" xfId="0" applyFont="1" applyAlignment="1">
      <alignment horizontal="center"/>
    </xf>
    <xf numFmtId="174" fontId="9" fillId="0" borderId="0" xfId="0" applyNumberFormat="1" applyFont="1" applyAlignment="1" applyProtection="1">
      <alignment horizontal="center"/>
      <protection hidden="1"/>
    </xf>
    <xf numFmtId="167" fontId="53" fillId="0" borderId="0" xfId="3" applyNumberFormat="1" applyFont="1" applyAlignment="1">
      <alignment horizontal="center" vertical="top" wrapText="1"/>
    </xf>
    <xf numFmtId="167" fontId="58" fillId="0" borderId="0" xfId="3" applyNumberFormat="1" applyFont="1" applyAlignment="1">
      <alignment horizontal="center" vertical="top" wrapText="1"/>
    </xf>
    <xf numFmtId="167" fontId="43" fillId="0" borderId="0" xfId="3" applyNumberFormat="1" applyFont="1" applyAlignment="1">
      <alignment horizontal="center"/>
    </xf>
    <xf numFmtId="0" fontId="78" fillId="0" borderId="0" xfId="0" applyFont="1"/>
    <xf numFmtId="3" fontId="79" fillId="0" borderId="0" xfId="0" applyNumberFormat="1" applyFont="1"/>
    <xf numFmtId="3" fontId="80" fillId="0" borderId="0" xfId="0" applyNumberFormat="1" applyFont="1"/>
    <xf numFmtId="17" fontId="36" fillId="0" borderId="0" xfId="0" applyNumberFormat="1" applyFont="1" applyAlignment="1" applyProtection="1">
      <alignment horizontal="center"/>
      <protection hidden="1"/>
    </xf>
    <xf numFmtId="164" fontId="15" fillId="6" borderId="21" xfId="0" applyNumberFormat="1" applyFont="1" applyFill="1" applyBorder="1" applyAlignment="1" applyProtection="1">
      <alignment horizontal="center"/>
      <protection hidden="1"/>
    </xf>
    <xf numFmtId="164" fontId="12" fillId="0" borderId="0" xfId="0" applyNumberFormat="1" applyFont="1" applyFill="1" applyAlignment="1" applyProtection="1">
      <alignment horizontal="center"/>
      <protection hidden="1"/>
    </xf>
    <xf numFmtId="3" fontId="29" fillId="0" borderId="7" xfId="3" applyNumberFormat="1" applyFont="1" applyBorder="1" applyAlignment="1" applyProtection="1">
      <alignment horizontal="center" vertical="center"/>
      <protection locked="0"/>
    </xf>
    <xf numFmtId="0" fontId="23" fillId="0" borderId="0" xfId="3" applyFont="1" applyProtection="1">
      <protection hidden="1"/>
    </xf>
    <xf numFmtId="0" fontId="23" fillId="0" borderId="0" xfId="3" applyFont="1" applyAlignment="1" applyProtection="1">
      <alignment horizontal="center"/>
      <protection hidden="1"/>
    </xf>
    <xf numFmtId="0" fontId="24" fillId="0" borderId="6" xfId="3" applyFont="1" applyBorder="1" applyProtection="1">
      <protection hidden="1"/>
    </xf>
    <xf numFmtId="0" fontId="23" fillId="0" borderId="6" xfId="3" applyFont="1" applyBorder="1" applyAlignment="1" applyProtection="1">
      <alignment horizontal="center"/>
      <protection hidden="1"/>
    </xf>
    <xf numFmtId="0" fontId="23" fillId="0" borderId="6" xfId="3" applyFont="1" applyBorder="1" applyProtection="1">
      <protection hidden="1"/>
    </xf>
    <xf numFmtId="0" fontId="25" fillId="4" borderId="0" xfId="3" applyFont="1" applyFill="1" applyProtection="1">
      <protection hidden="1"/>
    </xf>
    <xf numFmtId="0" fontId="25" fillId="4" borderId="0" xfId="3" applyFont="1" applyFill="1" applyAlignment="1" applyProtection="1">
      <alignment horizontal="center"/>
      <protection hidden="1"/>
    </xf>
    <xf numFmtId="0" fontId="25" fillId="0" borderId="0" xfId="3" applyFont="1" applyAlignment="1" applyProtection="1">
      <alignment horizontal="center"/>
      <protection hidden="1"/>
    </xf>
    <xf numFmtId="0" fontId="26" fillId="0" borderId="0" xfId="3" applyFont="1" applyProtection="1">
      <protection hidden="1"/>
    </xf>
    <xf numFmtId="0" fontId="27" fillId="0" borderId="0" xfId="3" applyFont="1" applyProtection="1">
      <protection hidden="1"/>
    </xf>
    <xf numFmtId="0" fontId="28" fillId="0" borderId="0" xfId="3" applyFont="1" applyProtection="1">
      <protection hidden="1"/>
    </xf>
    <xf numFmtId="3" fontId="27" fillId="0" borderId="0" xfId="3" applyNumberFormat="1" applyFont="1" applyAlignment="1" applyProtection="1">
      <alignment horizontal="center"/>
      <protection hidden="1"/>
    </xf>
    <xf numFmtId="14" fontId="27" fillId="0" borderId="0" xfId="3" applyNumberFormat="1" applyFont="1" applyAlignment="1" applyProtection="1">
      <alignment horizontal="center"/>
      <protection hidden="1"/>
    </xf>
    <xf numFmtId="0" fontId="27" fillId="0" borderId="0" xfId="3" applyFont="1" applyAlignment="1" applyProtection="1">
      <alignment horizontal="center"/>
      <protection hidden="1"/>
    </xf>
    <xf numFmtId="3" fontId="28" fillId="0" borderId="0" xfId="3" applyNumberFormat="1" applyFont="1" applyAlignment="1" applyProtection="1">
      <alignment horizontal="center"/>
      <protection hidden="1"/>
    </xf>
    <xf numFmtId="0" fontId="81" fillId="0" borderId="0" xfId="3" applyFont="1" applyProtection="1">
      <protection hidden="1"/>
    </xf>
    <xf numFmtId="3" fontId="29" fillId="0" borderId="0" xfId="3" applyNumberFormat="1" applyFont="1" applyAlignment="1" applyProtection="1">
      <alignment horizontal="left"/>
      <protection hidden="1"/>
    </xf>
    <xf numFmtId="0" fontId="30" fillId="0" borderId="0" xfId="3" applyFont="1" applyProtection="1">
      <protection hidden="1"/>
    </xf>
    <xf numFmtId="0" fontId="30" fillId="0" borderId="0" xfId="3" quotePrefix="1" applyFont="1" applyAlignment="1" applyProtection="1">
      <alignment horizontal="center"/>
      <protection hidden="1"/>
    </xf>
    <xf numFmtId="171" fontId="30" fillId="0" borderId="0" xfId="3" applyNumberFormat="1" applyFont="1" applyAlignment="1" applyProtection="1">
      <alignment horizontal="center"/>
      <protection hidden="1"/>
    </xf>
    <xf numFmtId="1" fontId="31" fillId="0" borderId="0" xfId="3" applyNumberFormat="1" applyFont="1" applyAlignment="1" applyProtection="1">
      <alignment horizontal="right"/>
      <protection hidden="1"/>
    </xf>
    <xf numFmtId="14" fontId="31" fillId="0" borderId="0" xfId="3" applyNumberFormat="1" applyFont="1" applyProtection="1">
      <protection hidden="1"/>
    </xf>
    <xf numFmtId="166" fontId="31" fillId="0" borderId="0" xfId="1" applyNumberFormat="1" applyFont="1" applyProtection="1">
      <protection hidden="1"/>
    </xf>
    <xf numFmtId="0" fontId="28" fillId="0" borderId="0" xfId="3" applyFont="1" applyAlignment="1" applyProtection="1">
      <protection hidden="1"/>
    </xf>
    <xf numFmtId="0" fontId="27" fillId="0" borderId="0" xfId="3" quotePrefix="1" applyFont="1" applyAlignment="1" applyProtection="1">
      <alignment horizontal="center"/>
      <protection hidden="1"/>
    </xf>
    <xf numFmtId="3" fontId="28" fillId="0" borderId="0" xfId="3" applyNumberFormat="1" applyFont="1" applyAlignment="1" applyProtection="1">
      <alignment horizontal="left"/>
      <protection hidden="1"/>
    </xf>
    <xf numFmtId="0" fontId="31" fillId="0" borderId="0" xfId="3" applyFont="1" applyProtection="1">
      <protection hidden="1"/>
    </xf>
    <xf numFmtId="14" fontId="27" fillId="0" borderId="0" xfId="3" applyNumberFormat="1" applyFont="1" applyProtection="1">
      <protection hidden="1"/>
    </xf>
    <xf numFmtId="172" fontId="27" fillId="0" borderId="0" xfId="5" applyNumberFormat="1" applyFont="1" applyProtection="1">
      <protection hidden="1"/>
    </xf>
    <xf numFmtId="173" fontId="27" fillId="0" borderId="0" xfId="5" applyNumberFormat="1" applyFont="1" applyProtection="1">
      <protection hidden="1"/>
    </xf>
    <xf numFmtId="173" fontId="27" fillId="0" borderId="0" xfId="3" applyNumberFormat="1" applyFont="1" applyProtection="1">
      <protection hidden="1"/>
    </xf>
    <xf numFmtId="0" fontId="32" fillId="0" borderId="0" xfId="3" applyFont="1" applyProtection="1">
      <protection hidden="1"/>
    </xf>
    <xf numFmtId="0" fontId="32" fillId="0" borderId="0" xfId="3" applyFont="1" applyAlignment="1" applyProtection="1">
      <alignment horizontal="center"/>
      <protection hidden="1"/>
    </xf>
    <xf numFmtId="3" fontId="32" fillId="0" borderId="0" xfId="3" applyNumberFormat="1" applyFont="1" applyAlignment="1" applyProtection="1">
      <alignment horizontal="center"/>
      <protection hidden="1"/>
    </xf>
    <xf numFmtId="3" fontId="30" fillId="0" borderId="6" xfId="3" applyNumberFormat="1" applyFont="1" applyBorder="1" applyAlignment="1" applyProtection="1">
      <alignment horizontal="left"/>
      <protection hidden="1"/>
    </xf>
    <xf numFmtId="3" fontId="30" fillId="0" borderId="6" xfId="3" quotePrefix="1" applyNumberFormat="1" applyFont="1" applyBorder="1" applyAlignment="1" applyProtection="1">
      <alignment horizontal="center"/>
      <protection hidden="1"/>
    </xf>
    <xf numFmtId="10" fontId="30" fillId="0" borderId="6" xfId="2" applyNumberFormat="1" applyFont="1" applyBorder="1" applyAlignment="1" applyProtection="1">
      <alignment horizontal="center"/>
      <protection hidden="1"/>
    </xf>
    <xf numFmtId="3" fontId="33" fillId="0" borderId="6" xfId="3" applyNumberFormat="1" applyFont="1" applyBorder="1" applyAlignment="1" applyProtection="1">
      <alignment horizontal="left"/>
      <protection hidden="1"/>
    </xf>
    <xf numFmtId="3" fontId="33" fillId="0" borderId="6" xfId="3" applyNumberFormat="1" applyFont="1" applyBorder="1" applyAlignment="1" applyProtection="1">
      <alignment horizontal="center"/>
      <protection hidden="1"/>
    </xf>
    <xf numFmtId="10" fontId="27" fillId="0" borderId="0" xfId="4" applyNumberFormat="1" applyFont="1" applyProtection="1">
      <protection hidden="1"/>
    </xf>
    <xf numFmtId="3" fontId="33" fillId="0" borderId="0" xfId="3" applyNumberFormat="1" applyFont="1" applyAlignment="1" applyProtection="1">
      <alignment horizontal="left"/>
      <protection hidden="1"/>
    </xf>
    <xf numFmtId="3" fontId="33" fillId="0" borderId="0" xfId="3" applyNumberFormat="1" applyFont="1" applyAlignment="1" applyProtection="1">
      <alignment horizontal="center"/>
      <protection hidden="1"/>
    </xf>
    <xf numFmtId="0" fontId="25" fillId="2" borderId="0" xfId="3" applyFont="1" applyFill="1" applyProtection="1">
      <protection hidden="1"/>
    </xf>
    <xf numFmtId="0" fontId="25" fillId="2" borderId="0" xfId="3" applyFont="1" applyFill="1" applyAlignment="1" applyProtection="1">
      <alignment horizontal="center"/>
      <protection hidden="1"/>
    </xf>
    <xf numFmtId="3" fontId="25" fillId="2" borderId="0" xfId="3" applyNumberFormat="1" applyFont="1" applyFill="1" applyAlignment="1" applyProtection="1">
      <alignment horizontal="center"/>
      <protection hidden="1"/>
    </xf>
    <xf numFmtId="0" fontId="25" fillId="5" borderId="0" xfId="3" applyFont="1" applyFill="1" applyProtection="1">
      <protection hidden="1"/>
    </xf>
    <xf numFmtId="14" fontId="25" fillId="5" borderId="0" xfId="3" applyNumberFormat="1" applyFont="1" applyFill="1" applyAlignment="1" applyProtection="1">
      <alignment horizontal="center"/>
      <protection hidden="1"/>
    </xf>
    <xf numFmtId="3" fontId="29" fillId="0" borderId="0" xfId="3" applyNumberFormat="1" applyFont="1" applyAlignment="1" applyProtection="1">
      <alignment horizontal="center"/>
      <protection hidden="1"/>
    </xf>
    <xf numFmtId="0" fontId="28" fillId="0" borderId="1" xfId="3" applyFont="1" applyBorder="1" applyProtection="1">
      <protection hidden="1"/>
    </xf>
    <xf numFmtId="167" fontId="28" fillId="0" borderId="1" xfId="3" applyNumberFormat="1" applyFont="1" applyBorder="1" applyAlignment="1" applyProtection="1">
      <alignment horizontal="center"/>
      <protection hidden="1"/>
    </xf>
    <xf numFmtId="0" fontId="30" fillId="0" borderId="0" xfId="3" applyFont="1" applyAlignment="1" applyProtection="1">
      <alignment horizontal="center"/>
      <protection hidden="1"/>
    </xf>
    <xf numFmtId="10" fontId="30" fillId="0" borderId="0" xfId="2" applyNumberFormat="1" applyFont="1" applyAlignment="1" applyProtection="1">
      <alignment horizontal="center"/>
      <protection hidden="1"/>
    </xf>
    <xf numFmtId="167" fontId="27" fillId="0" borderId="0" xfId="3" applyNumberFormat="1" applyFont="1" applyAlignment="1" applyProtection="1">
      <alignment horizontal="center"/>
      <protection hidden="1"/>
    </xf>
    <xf numFmtId="14" fontId="25" fillId="2" borderId="0" xfId="3" applyNumberFormat="1" applyFont="1" applyFill="1" applyAlignment="1" applyProtection="1">
      <alignment horizontal="center"/>
      <protection hidden="1"/>
    </xf>
    <xf numFmtId="0" fontId="25" fillId="5" borderId="0" xfId="3" applyFont="1" applyFill="1" applyAlignment="1" applyProtection="1">
      <alignment horizontal="center"/>
      <protection hidden="1"/>
    </xf>
    <xf numFmtId="3" fontId="34" fillId="0" borderId="0" xfId="3" applyNumberFormat="1" applyFont="1" applyAlignment="1" applyProtection="1">
      <alignment horizontal="center"/>
      <protection hidden="1"/>
    </xf>
    <xf numFmtId="0" fontId="35" fillId="0" borderId="0" xfId="3" applyFont="1" applyProtection="1">
      <protection hidden="1"/>
    </xf>
    <xf numFmtId="3" fontId="25" fillId="0" borderId="0" xfId="3" applyNumberFormat="1" applyFont="1" applyAlignment="1" applyProtection="1">
      <alignment horizontal="center"/>
      <protection hidden="1"/>
    </xf>
    <xf numFmtId="3" fontId="37" fillId="0" borderId="0" xfId="3" applyNumberFormat="1" applyFont="1" applyAlignment="1" applyProtection="1">
      <alignment horizontal="center"/>
      <protection hidden="1"/>
    </xf>
    <xf numFmtId="0" fontId="38" fillId="0" borderId="0" xfId="3" applyFont="1" applyProtection="1">
      <protection hidden="1"/>
    </xf>
    <xf numFmtId="0" fontId="31" fillId="0" borderId="0" xfId="3" applyFont="1" applyAlignment="1" applyProtection="1">
      <alignment horizontal="center"/>
      <protection hidden="1"/>
    </xf>
    <xf numFmtId="3" fontId="31" fillId="0" borderId="0" xfId="3" applyNumberFormat="1" applyFont="1" applyAlignment="1" applyProtection="1">
      <alignment horizontal="center"/>
      <protection hidden="1"/>
    </xf>
    <xf numFmtId="0" fontId="39" fillId="0" borderId="0" xfId="3" applyFont="1" applyAlignment="1" applyProtection="1">
      <alignment horizontal="center"/>
      <protection hidden="1"/>
    </xf>
    <xf numFmtId="3" fontId="39" fillId="0" borderId="0" xfId="3" applyNumberFormat="1" applyFont="1" applyAlignment="1" applyProtection="1">
      <alignment horizontal="center"/>
      <protection hidden="1"/>
    </xf>
    <xf numFmtId="0" fontId="39" fillId="0" borderId="0" xfId="3" applyFont="1" applyProtection="1">
      <protection hidden="1"/>
    </xf>
    <xf numFmtId="0" fontId="40" fillId="0" borderId="0" xfId="3" applyFont="1" applyProtection="1">
      <protection hidden="1"/>
    </xf>
    <xf numFmtId="10" fontId="39" fillId="0" borderId="0" xfId="4" applyNumberFormat="1" applyFont="1" applyAlignment="1" applyProtection="1">
      <alignment horizontal="center"/>
      <protection hidden="1"/>
    </xf>
    <xf numFmtId="3" fontId="23" fillId="0" borderId="0" xfId="3" applyNumberFormat="1" applyFont="1" applyAlignment="1" applyProtection="1">
      <alignment horizontal="center"/>
      <protection hidden="1"/>
    </xf>
    <xf numFmtId="1" fontId="27" fillId="0" borderId="0" xfId="3" applyNumberFormat="1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left"/>
      <protection hidden="1"/>
    </xf>
    <xf numFmtId="164" fontId="19" fillId="0" borderId="0" xfId="2" applyNumberFormat="1" applyFont="1" applyFill="1" applyAlignment="1" applyProtection="1">
      <alignment horizontal="left"/>
      <protection hidden="1"/>
    </xf>
    <xf numFmtId="3" fontId="14" fillId="0" borderId="27" xfId="0" applyNumberFormat="1" applyFont="1" applyBorder="1" applyAlignment="1" applyProtection="1">
      <alignment horizontal="center"/>
      <protection hidden="1"/>
    </xf>
    <xf numFmtId="3" fontId="14" fillId="0" borderId="0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17" fontId="7" fillId="2" borderId="0" xfId="0" applyNumberFormat="1" applyFont="1" applyFill="1" applyAlignment="1" applyProtection="1">
      <alignment horizontal="center"/>
      <protection hidden="1"/>
    </xf>
    <xf numFmtId="0" fontId="41" fillId="0" borderId="0" xfId="3" applyFont="1" applyProtection="1">
      <protection hidden="1"/>
    </xf>
    <xf numFmtId="0" fontId="82" fillId="0" borderId="0" xfId="3" applyFont="1" applyProtection="1">
      <protection hidden="1"/>
    </xf>
    <xf numFmtId="0" fontId="82" fillId="0" borderId="0" xfId="3" quotePrefix="1" applyFont="1" applyAlignment="1" applyProtection="1">
      <alignment horizontal="center"/>
      <protection hidden="1"/>
    </xf>
    <xf numFmtId="164" fontId="41" fillId="0" borderId="0" xfId="2" applyNumberFormat="1" applyFont="1" applyAlignment="1" applyProtection="1">
      <alignment horizontal="center"/>
      <protection hidden="1"/>
    </xf>
    <xf numFmtId="10" fontId="10" fillId="0" borderId="0" xfId="0" applyNumberFormat="1" applyFont="1" applyAlignment="1" applyProtection="1">
      <alignment horizontal="center"/>
      <protection hidden="1"/>
    </xf>
    <xf numFmtId="14" fontId="83" fillId="0" borderId="0" xfId="3" applyNumberFormat="1" applyFont="1" applyProtection="1">
      <protection hidden="1"/>
    </xf>
    <xf numFmtId="0" fontId="83" fillId="0" borderId="0" xfId="3" applyFont="1" applyProtection="1">
      <protection hidden="1"/>
    </xf>
    <xf numFmtId="164" fontId="83" fillId="0" borderId="0" xfId="2" applyNumberFormat="1" applyFont="1" applyProtection="1">
      <protection hidden="1"/>
    </xf>
    <xf numFmtId="3" fontId="83" fillId="0" borderId="0" xfId="3" applyNumberFormat="1" applyFont="1" applyProtection="1">
      <protection hidden="1"/>
    </xf>
    <xf numFmtId="167" fontId="14" fillId="0" borderId="0" xfId="0" applyNumberFormat="1" applyFont="1" applyFill="1" applyBorder="1" applyAlignment="1" applyProtection="1">
      <alignment horizontal="center"/>
      <protection hidden="1"/>
    </xf>
    <xf numFmtId="167" fontId="19" fillId="0" borderId="0" xfId="0" applyNumberFormat="1" applyFont="1" applyFill="1" applyAlignment="1" applyProtection="1">
      <alignment horizontal="center"/>
      <protection hidden="1"/>
    </xf>
    <xf numFmtId="10" fontId="12" fillId="0" borderId="0" xfId="0" applyNumberFormat="1" applyFont="1" applyFill="1" applyAlignment="1" applyProtection="1">
      <alignment horizontal="center"/>
      <protection hidden="1"/>
    </xf>
    <xf numFmtId="167" fontId="14" fillId="0" borderId="0" xfId="0" applyNumberFormat="1" applyFont="1" applyFill="1" applyAlignment="1" applyProtection="1">
      <alignment horizontal="center"/>
      <protection hidden="1"/>
    </xf>
    <xf numFmtId="164" fontId="19" fillId="0" borderId="0" xfId="2" applyNumberFormat="1" applyFont="1" applyFill="1" applyAlignment="1" applyProtection="1">
      <alignment horizontal="center"/>
      <protection hidden="1"/>
    </xf>
    <xf numFmtId="164" fontId="14" fillId="0" borderId="0" xfId="2" applyNumberFormat="1" applyFont="1" applyFill="1" applyBorder="1" applyAlignment="1" applyProtection="1">
      <alignment horizontal="center"/>
      <protection hidden="1"/>
    </xf>
    <xf numFmtId="164" fontId="19" fillId="0" borderId="0" xfId="2" applyNumberFormat="1" applyFont="1" applyFill="1" applyBorder="1" applyAlignment="1" applyProtection="1">
      <alignment horizontal="center"/>
      <protection hidden="1"/>
    </xf>
    <xf numFmtId="3" fontId="19" fillId="0" borderId="0" xfId="0" applyNumberFormat="1" applyFont="1" applyFill="1" applyAlignment="1" applyProtection="1">
      <alignment horizontal="center"/>
      <protection hidden="1"/>
    </xf>
    <xf numFmtId="164" fontId="14" fillId="0" borderId="0" xfId="0" applyNumberFormat="1" applyFont="1" applyFill="1" applyAlignment="1" applyProtection="1">
      <alignment horizontal="center"/>
      <protection hidden="1"/>
    </xf>
    <xf numFmtId="3" fontId="12" fillId="0" borderId="0" xfId="0" applyNumberFormat="1" applyFont="1" applyFill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17" fontId="84" fillId="4" borderId="0" xfId="0" applyNumberFormat="1" applyFont="1" applyFill="1" applyAlignment="1" applyProtection="1">
      <alignment horizontal="left"/>
      <protection hidden="1"/>
    </xf>
    <xf numFmtId="17" fontId="84" fillId="4" borderId="0" xfId="0" applyNumberFormat="1" applyFont="1" applyFill="1" applyAlignment="1" applyProtection="1">
      <alignment horizontal="center"/>
      <protection hidden="1"/>
    </xf>
    <xf numFmtId="0" fontId="85" fillId="0" borderId="0" xfId="0" applyFont="1" applyProtection="1">
      <protection hidden="1"/>
    </xf>
    <xf numFmtId="3" fontId="85" fillId="0" borderId="0" xfId="0" applyNumberFormat="1" applyFont="1" applyAlignment="1" applyProtection="1">
      <alignment horizontal="center"/>
      <protection hidden="1"/>
    </xf>
    <xf numFmtId="0" fontId="86" fillId="0" borderId="0" xfId="0" applyFont="1" applyProtection="1">
      <protection hidden="1"/>
    </xf>
    <xf numFmtId="9" fontId="87" fillId="0" borderId="0" xfId="2" applyFont="1" applyProtection="1">
      <protection hidden="1"/>
    </xf>
    <xf numFmtId="164" fontId="88" fillId="0" borderId="0" xfId="2" applyNumberFormat="1" applyFont="1" applyFill="1" applyBorder="1" applyAlignment="1" applyProtection="1">
      <alignment horizontal="left"/>
      <protection hidden="1"/>
    </xf>
    <xf numFmtId="3" fontId="88" fillId="0" borderId="0" xfId="0" applyNumberFormat="1" applyFont="1" applyFill="1" applyBorder="1" applyAlignment="1" applyProtection="1">
      <alignment horizontal="left"/>
      <protection hidden="1"/>
    </xf>
    <xf numFmtId="3" fontId="88" fillId="0" borderId="0" xfId="0" applyNumberFormat="1" applyFont="1" applyFill="1" applyBorder="1" applyAlignment="1" applyProtection="1">
      <alignment horizontal="center"/>
      <protection hidden="1"/>
    </xf>
    <xf numFmtId="164" fontId="89" fillId="0" borderId="0" xfId="2" applyNumberFormat="1" applyFont="1" applyFill="1" applyAlignment="1" applyProtection="1">
      <alignment horizontal="left"/>
      <protection hidden="1"/>
    </xf>
    <xf numFmtId="164" fontId="89" fillId="0" borderId="0" xfId="2" applyNumberFormat="1" applyFont="1" applyFill="1" applyAlignment="1" applyProtection="1">
      <alignment horizontal="center"/>
      <protection hidden="1"/>
    </xf>
    <xf numFmtId="3" fontId="90" fillId="0" borderId="1" xfId="0" applyNumberFormat="1" applyFont="1" applyFill="1" applyBorder="1" applyAlignment="1">
      <alignment horizontal="left"/>
    </xf>
    <xf numFmtId="3" fontId="90" fillId="0" borderId="1" xfId="0" applyNumberFormat="1" applyFont="1" applyFill="1" applyBorder="1" applyAlignment="1">
      <alignment horizontal="center"/>
    </xf>
    <xf numFmtId="3" fontId="89" fillId="0" borderId="0" xfId="0" applyNumberFormat="1" applyFont="1" applyFill="1" applyAlignment="1" applyProtection="1">
      <alignment horizontal="left"/>
      <protection hidden="1"/>
    </xf>
    <xf numFmtId="3" fontId="89" fillId="0" borderId="0" xfId="0" applyNumberFormat="1" applyFont="1" applyFill="1" applyAlignment="1" applyProtection="1">
      <alignment horizontal="center"/>
      <protection hidden="1"/>
    </xf>
    <xf numFmtId="167" fontId="88" fillId="0" borderId="0" xfId="0" applyNumberFormat="1" applyFont="1" applyFill="1" applyAlignment="1" applyProtection="1">
      <alignment horizontal="left"/>
      <protection hidden="1"/>
    </xf>
    <xf numFmtId="167" fontId="88" fillId="0" borderId="0" xfId="0" applyNumberFormat="1" applyFont="1" applyFill="1" applyAlignment="1" applyProtection="1">
      <alignment horizontal="center"/>
      <protection hidden="1"/>
    </xf>
    <xf numFmtId="167" fontId="90" fillId="0" borderId="1" xfId="0" applyNumberFormat="1" applyFont="1" applyFill="1" applyBorder="1" applyAlignment="1" applyProtection="1">
      <alignment horizontal="left"/>
      <protection hidden="1"/>
    </xf>
    <xf numFmtId="167" fontId="90" fillId="0" borderId="1" xfId="0" applyNumberFormat="1" applyFont="1" applyFill="1" applyBorder="1" applyAlignment="1" applyProtection="1">
      <alignment horizontal="center"/>
      <protection hidden="1"/>
    </xf>
    <xf numFmtId="167" fontId="88" fillId="0" borderId="0" xfId="0" applyNumberFormat="1" applyFont="1" applyFill="1" applyBorder="1" applyAlignment="1" applyProtection="1">
      <alignment horizontal="left"/>
      <protection hidden="1"/>
    </xf>
    <xf numFmtId="167" fontId="88" fillId="0" borderId="0" xfId="0" applyNumberFormat="1" applyFont="1" applyFill="1" applyBorder="1" applyAlignment="1" applyProtection="1">
      <alignment horizontal="center"/>
      <protection hidden="1"/>
    </xf>
    <xf numFmtId="167" fontId="89" fillId="0" borderId="0" xfId="0" applyNumberFormat="1" applyFont="1" applyFill="1" applyAlignment="1" applyProtection="1">
      <alignment horizontal="left"/>
      <protection hidden="1"/>
    </xf>
    <xf numFmtId="167" fontId="89" fillId="0" borderId="0" xfId="0" applyNumberFormat="1" applyFont="1" applyFill="1" applyAlignment="1" applyProtection="1">
      <alignment horizontal="center"/>
      <protection hidden="1"/>
    </xf>
    <xf numFmtId="164" fontId="88" fillId="0" borderId="0" xfId="0" applyNumberFormat="1" applyFont="1" applyFill="1" applyAlignment="1" applyProtection="1">
      <alignment horizontal="left"/>
      <protection hidden="1"/>
    </xf>
    <xf numFmtId="164" fontId="88" fillId="0" borderId="0" xfId="0" applyNumberFormat="1" applyFont="1" applyFill="1" applyAlignment="1" applyProtection="1">
      <alignment horizontal="center"/>
      <protection hidden="1"/>
    </xf>
    <xf numFmtId="167" fontId="90" fillId="0" borderId="0" xfId="0" applyNumberFormat="1" applyFont="1" applyFill="1" applyAlignment="1" applyProtection="1">
      <alignment horizontal="left"/>
      <protection hidden="1"/>
    </xf>
    <xf numFmtId="3" fontId="90" fillId="0" borderId="1" xfId="0" applyNumberFormat="1" applyFont="1" applyFill="1" applyBorder="1" applyAlignment="1" applyProtection="1">
      <alignment horizontal="left"/>
      <protection hidden="1"/>
    </xf>
    <xf numFmtId="3" fontId="90" fillId="0" borderId="1" xfId="0" applyNumberFormat="1" applyFont="1" applyFill="1" applyBorder="1" applyAlignment="1" applyProtection="1">
      <alignment horizontal="center"/>
      <protection hidden="1"/>
    </xf>
    <xf numFmtId="167" fontId="90" fillId="0" borderId="0" xfId="0" applyNumberFormat="1" applyFont="1" applyFill="1" applyBorder="1" applyAlignment="1" applyProtection="1">
      <alignment horizontal="left"/>
      <protection hidden="1"/>
    </xf>
    <xf numFmtId="167" fontId="90" fillId="0" borderId="0" xfId="0" applyNumberFormat="1" applyFont="1" applyFill="1" applyBorder="1" applyAlignment="1" applyProtection="1">
      <alignment horizontal="center"/>
      <protection hidden="1"/>
    </xf>
    <xf numFmtId="3" fontId="91" fillId="0" borderId="0" xfId="3" applyNumberFormat="1" applyFont="1" applyAlignment="1" applyProtection="1">
      <alignment horizontal="center"/>
      <protection hidden="1"/>
    </xf>
    <xf numFmtId="0" fontId="7" fillId="4" borderId="34" xfId="0" applyFont="1" applyFill="1" applyBorder="1" applyAlignment="1" applyProtection="1">
      <alignment horizontal="center"/>
      <protection hidden="1"/>
    </xf>
    <xf numFmtId="0" fontId="7" fillId="4" borderId="28" xfId="0" applyFont="1" applyFill="1" applyBorder="1" applyAlignment="1" applyProtection="1">
      <alignment horizontal="center"/>
      <protection hidden="1"/>
    </xf>
    <xf numFmtId="0" fontId="7" fillId="4" borderId="35" xfId="0" applyFont="1" applyFill="1" applyBorder="1" applyAlignment="1" applyProtection="1">
      <alignment horizontal="center"/>
      <protection hidden="1"/>
    </xf>
    <xf numFmtId="17" fontId="7" fillId="4" borderId="36" xfId="0" applyNumberFormat="1" applyFont="1" applyFill="1" applyBorder="1" applyAlignment="1" applyProtection="1">
      <alignment horizontal="left"/>
      <protection hidden="1"/>
    </xf>
    <xf numFmtId="17" fontId="7" fillId="4" borderId="37" xfId="0" applyNumberFormat="1" applyFont="1" applyFill="1" applyBorder="1" applyAlignment="1" applyProtection="1">
      <alignment horizontal="left"/>
      <protection hidden="1"/>
    </xf>
    <xf numFmtId="17" fontId="7" fillId="4" borderId="38" xfId="0" applyNumberFormat="1" applyFont="1" applyFill="1" applyBorder="1" applyAlignment="1" applyProtection="1">
      <alignment horizontal="left"/>
      <protection hidden="1"/>
    </xf>
    <xf numFmtId="9" fontId="28" fillId="0" borderId="0" xfId="4" applyNumberFormat="1" applyFont="1" applyAlignment="1" applyProtection="1">
      <alignment horizontal="center"/>
      <protection hidden="1"/>
    </xf>
  </cellXfs>
  <cellStyles count="14">
    <cellStyle name="Comma 2" xfId="5" xr:uid="{F67D2BFD-0144-44E2-9194-C4E78361B6DB}"/>
    <cellStyle name="Comma 2 2" xfId="8" xr:uid="{446AF549-A88C-49A5-A6BF-192B8AE61922}"/>
    <cellStyle name="Normal 2" xfId="3" xr:uid="{8FF42789-44AC-4033-87F2-0AF8A5A83BC1}"/>
    <cellStyle name="Normal 4" xfId="10" xr:uid="{CFFC6F06-5A1A-46C9-8254-CFB5626C274F}"/>
    <cellStyle name="Note 2" xfId="12" xr:uid="{338873E6-E914-4E3B-82D0-85FE4BBDC09E}"/>
    <cellStyle name="Percent 2" xfId="4" xr:uid="{FCD9A7AD-14A5-47A6-A6F2-AE0B1C4C3697}"/>
    <cellStyle name="Percent 4" xfId="9" xr:uid="{1C3408DE-CE34-4E86-9C32-DB9891877D3B}"/>
    <cellStyle name="Обычный" xfId="0" builtinId="0"/>
    <cellStyle name="Обычный 2" xfId="6" xr:uid="{2A9E9C87-58D8-40CA-8809-A0894A303AB6}"/>
    <cellStyle name="Примечание" xfId="7" builtinId="10"/>
    <cellStyle name="Процентный" xfId="2" builtinId="5"/>
    <cellStyle name="Процентный 2" xfId="11" xr:uid="{B8DA725F-523B-4D95-8632-FE91CAF3F5F7}"/>
    <cellStyle name="Финансовый" xfId="1" builtinId="3"/>
    <cellStyle name="Финансовый 2" xfId="13" xr:uid="{904D4EDD-21F0-4299-9728-F4391D2CBD7F}"/>
  </cellStyles>
  <dxfs count="0"/>
  <tableStyles count="0" defaultTableStyle="TableStyleMedium2" defaultPivotStyle="PivotStyleLight16"/>
  <colors>
    <mruColors>
      <color rgb="FF0000FF"/>
      <color rgb="FFFFCCCC"/>
      <color rgb="FFFF0000"/>
      <color rgb="FFFF00FF"/>
      <color rgb="FF00CC00"/>
      <color rgb="FF9999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800" b="1">
                <a:solidFill>
                  <a:schemeClr val="bg1">
                    <a:lumMod val="50000"/>
                  </a:schemeClr>
                </a:solidFill>
              </a:rPr>
              <a:t>Стоимость доли</a:t>
            </a:r>
            <a:r>
              <a:rPr lang="en-US" sz="1800" b="1">
                <a:solidFill>
                  <a:schemeClr val="bg1">
                    <a:lumMod val="50000"/>
                  </a:schemeClr>
                </a:solidFill>
              </a:rPr>
              <a:t> </a:t>
            </a:r>
            <a:r>
              <a:rPr lang="ru-RU" sz="1800" b="1">
                <a:solidFill>
                  <a:schemeClr val="bg1">
                    <a:lumMod val="50000"/>
                  </a:schemeClr>
                </a:solidFill>
              </a:rPr>
              <a:t>инвестора,</a:t>
            </a:r>
            <a:r>
              <a:rPr lang="ru-RU" sz="1800" b="1" baseline="0">
                <a:solidFill>
                  <a:schemeClr val="bg1">
                    <a:lumMod val="50000"/>
                  </a:schemeClr>
                </a:solidFill>
              </a:rPr>
              <a:t> тыс. руб.</a:t>
            </a:r>
            <a:r>
              <a:rPr lang="ru-RU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'Калькулятор инвестора'!$A$39</c:f>
              <c:strCache>
                <c:ptCount val="1"/>
                <c:pt idx="0">
                  <c:v>Стоимость доли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D0-418F-A1DF-E8D4A70C46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'Калькулятор инвестора'!$B$38:$L$38</c:f>
              <c:strCache>
                <c:ptCount val="11"/>
                <c:pt idx="0">
                  <c:v>Покупка</c:v>
                </c:pt>
                <c:pt idx="1">
                  <c:v>1й год</c:v>
                </c:pt>
                <c:pt idx="2">
                  <c:v>2й год</c:v>
                </c:pt>
                <c:pt idx="3">
                  <c:v>3й год</c:v>
                </c:pt>
                <c:pt idx="4">
                  <c:v>4й год</c:v>
                </c:pt>
                <c:pt idx="5">
                  <c:v>5й год</c:v>
                </c:pt>
                <c:pt idx="6">
                  <c:v>6й год</c:v>
                </c:pt>
                <c:pt idx="7">
                  <c:v>7й год</c:v>
                </c:pt>
                <c:pt idx="8">
                  <c:v>8й год</c:v>
                </c:pt>
                <c:pt idx="9">
                  <c:v>9й год</c:v>
                </c:pt>
                <c:pt idx="10">
                  <c:v>10й год</c:v>
                </c:pt>
              </c:strCache>
            </c:strRef>
          </c:cat>
          <c:val>
            <c:numRef>
              <c:f>'Калькулятор инвестора'!$B$39:$L$39</c:f>
              <c:numCache>
                <c:formatCode>#,##0</c:formatCode>
                <c:ptCount val="11"/>
                <c:pt idx="0">
                  <c:v>1000</c:v>
                </c:pt>
                <c:pt idx="1">
                  <c:v>1165.6058592964939</c:v>
                </c:pt>
                <c:pt idx="2">
                  <c:v>1290.8268191711172</c:v>
                </c:pt>
                <c:pt idx="3">
                  <c:v>1428.604907222727</c:v>
                </c:pt>
                <c:pt idx="4">
                  <c:v>1580.3795160228942</c:v>
                </c:pt>
                <c:pt idx="5">
                  <c:v>1747.7529762746342</c:v>
                </c:pt>
                <c:pt idx="6">
                  <c:v>1932.541983842302</c:v>
                </c:pt>
                <c:pt idx="7">
                  <c:v>2624.7140467518147</c:v>
                </c:pt>
                <c:pt idx="8">
                  <c:v>2898.2079337021974</c:v>
                </c:pt>
                <c:pt idx="9">
                  <c:v>3199.5834550543277</c:v>
                </c:pt>
                <c:pt idx="10">
                  <c:v>3531.9056978402855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3-4E47-ABCB-BD537FAD3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7091056"/>
        <c:axId val="687096880"/>
      </c:barChart>
      <c:catAx>
        <c:axId val="68709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687096880"/>
        <c:crosses val="autoZero"/>
        <c:auto val="1"/>
        <c:lblAlgn val="ctr"/>
        <c:lblOffset val="100"/>
        <c:noMultiLvlLbl val="0"/>
      </c:catAx>
      <c:valAx>
        <c:axId val="68709688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8709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ru-RU" sz="1800" b="1">
                <a:solidFill>
                  <a:schemeClr val="bg1">
                    <a:lumMod val="50000"/>
                  </a:schemeClr>
                </a:solidFill>
              </a:rPr>
              <a:t>Дивиденды</a:t>
            </a:r>
            <a:r>
              <a:rPr lang="en-US" sz="1800" b="1">
                <a:solidFill>
                  <a:schemeClr val="bg1">
                    <a:lumMod val="50000"/>
                  </a:schemeClr>
                </a:solidFill>
              </a:rPr>
              <a:t> </a:t>
            </a:r>
            <a:r>
              <a:rPr lang="ru-RU" sz="1800" b="1">
                <a:solidFill>
                  <a:schemeClr val="bg1">
                    <a:lumMod val="50000"/>
                  </a:schemeClr>
                </a:solidFill>
              </a:rPr>
              <a:t>инвестора,</a:t>
            </a:r>
            <a:r>
              <a:rPr lang="ru-RU" sz="1800" b="1" baseline="0">
                <a:solidFill>
                  <a:schemeClr val="bg1">
                    <a:lumMod val="50000"/>
                  </a:schemeClr>
                </a:solidFill>
              </a:rPr>
              <a:t> тыс. руб.</a:t>
            </a:r>
            <a:r>
              <a:rPr lang="ru-RU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1.2790501968407142E-2"/>
          <c:y val="0.13789064772360693"/>
          <c:w val="0.96966114957096694"/>
          <c:h val="0.753581945299340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'Калькулятор инвестора'!$A$40</c:f>
              <c:strCache>
                <c:ptCount val="1"/>
                <c:pt idx="0">
                  <c:v>Дивиденды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ru-RU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900-42EC-B099-CD91B15A53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'Калькулятор инвестора'!$B$38:$L$38</c:f>
              <c:strCache>
                <c:ptCount val="11"/>
                <c:pt idx="0">
                  <c:v>Покупка</c:v>
                </c:pt>
                <c:pt idx="1">
                  <c:v>1й год</c:v>
                </c:pt>
                <c:pt idx="2">
                  <c:v>2й год</c:v>
                </c:pt>
                <c:pt idx="3">
                  <c:v>3й год</c:v>
                </c:pt>
                <c:pt idx="4">
                  <c:v>4й год</c:v>
                </c:pt>
                <c:pt idx="5">
                  <c:v>5й год</c:v>
                </c:pt>
                <c:pt idx="6">
                  <c:v>6й год</c:v>
                </c:pt>
                <c:pt idx="7">
                  <c:v>7й год</c:v>
                </c:pt>
                <c:pt idx="8">
                  <c:v>8й год</c:v>
                </c:pt>
                <c:pt idx="9">
                  <c:v>9й год</c:v>
                </c:pt>
                <c:pt idx="10">
                  <c:v>10й год</c:v>
                </c:pt>
              </c:strCache>
            </c:strRef>
          </c:cat>
          <c:val>
            <c:numRef>
              <c:f>'Калькулятор инвестора'!$B$40:$L$40</c:f>
              <c:numCache>
                <c:formatCode>#,##0</c:formatCode>
                <c:ptCount val="11"/>
                <c:pt idx="0">
                  <c:v>0</c:v>
                </c:pt>
                <c:pt idx="1">
                  <c:v>69.565217391304358</c:v>
                </c:pt>
                <c:pt idx="2">
                  <c:v>74.34782608695653</c:v>
                </c:pt>
                <c:pt idx="3">
                  <c:v>85.217391304347842</c:v>
                </c:pt>
                <c:pt idx="4">
                  <c:v>94.34782608695653</c:v>
                </c:pt>
                <c:pt idx="5">
                  <c:v>99.130434782608702</c:v>
                </c:pt>
                <c:pt idx="6">
                  <c:v>101.30434782608694</c:v>
                </c:pt>
                <c:pt idx="7">
                  <c:v>110</c:v>
                </c:pt>
                <c:pt idx="8">
                  <c:v>150</c:v>
                </c:pt>
                <c:pt idx="9">
                  <c:v>165.21739130434781</c:v>
                </c:pt>
                <c:pt idx="10">
                  <c:v>181.73913043478262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0-42EC-B099-CD91B15A5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87091056"/>
        <c:axId val="687096880"/>
      </c:barChart>
      <c:catAx>
        <c:axId val="68709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687096880"/>
        <c:crosses val="autoZero"/>
        <c:auto val="1"/>
        <c:lblAlgn val="ctr"/>
        <c:lblOffset val="100"/>
        <c:noMultiLvlLbl val="0"/>
      </c:catAx>
      <c:valAx>
        <c:axId val="68709688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8709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'Stock Price &amp; Dividends  (2)'!$A$16</c:f>
              <c:strCache>
                <c:ptCount val="1"/>
                <c:pt idx="0">
                  <c:v>Дивиденды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BE10623-D284-47E8-B4D3-02FC938B7FF0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CB8-48FE-A4A1-55685396EA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3B29137-0DB6-4E10-9A2C-C9ECC3DFDCAD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CB8-48FE-A4A1-55685396EA7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983ED22-C180-4CC9-A181-F1C61752890A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CCB8-48FE-A4A1-55685396EA7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7FA8634-9C66-41E2-9890-E30C261209CA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CB8-48FE-A4A1-55685396EA7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2715ECE-583C-4DFC-B5D1-85F4DD5364EF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CCB8-48FE-A4A1-55685396EA7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396829F-5500-4315-BA42-5C5C9425E058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CB8-48FE-A4A1-55685396EA7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D4B3031-C92B-4270-8A26-135B81893727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CCB8-48FE-A4A1-55685396EA7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B8DE1F6-55BF-485B-B007-30130AB23320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CB8-48FE-A4A1-55685396EA7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8875A5C-C2BA-4098-A9EB-0FE0242D477B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CCB8-48FE-A4A1-55685396EA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'Stock Price &amp; Dividends  (2)'!$F$14:$N$14</c:f>
              <c:strCache>
                <c:ptCount val="9"/>
                <c:pt idx="0">
                  <c:v>04.08.2022</c:v>
                </c:pt>
                <c:pt idx="1">
                  <c:v>4 кв. 2022</c:v>
                </c:pt>
                <c:pt idx="2">
                  <c:v>1 кв. 2023</c:v>
                </c:pt>
                <c:pt idx="3">
                  <c:v>2 кв. 2023</c:v>
                </c:pt>
                <c:pt idx="4">
                  <c:v>3 кв. 2023</c:v>
                </c:pt>
                <c:pt idx="5">
                  <c:v>4 кв. 2023</c:v>
                </c:pt>
                <c:pt idx="6">
                  <c:v>1 кв. 2024</c:v>
                </c:pt>
                <c:pt idx="7">
                  <c:v>2 кв. 2024</c:v>
                </c:pt>
                <c:pt idx="8">
                  <c:v>3 кв. 2024</c:v>
                </c:pt>
              </c:strCache>
            </c:strRef>
          </c:cat>
          <c:val>
            <c:numRef>
              <c:f>'Stock Price &amp; Dividends  (2)'!$F$16:$N$16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6000</c:v>
                </c:pt>
                <c:pt idx="5">
                  <c:v>2000</c:v>
                </c:pt>
                <c:pt idx="6">
                  <c:v>4000</c:v>
                </c:pt>
                <c:pt idx="7">
                  <c:v>6000</c:v>
                </c:pt>
                <c:pt idx="8">
                  <c:v>8000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datalabelsRange>
                <c15:f>'Stock Price &amp; Dividends  (2)'!$F$17:$N$17</c15:f>
                <c15:dlblRangeCache>
                  <c:ptCount val="9"/>
                  <c:pt idx="4">
                    <c:v>30</c:v>
                  </c:pt>
                  <c:pt idx="5">
                    <c:v>10</c:v>
                  </c:pt>
                  <c:pt idx="6">
                    <c:v>20</c:v>
                  </c:pt>
                  <c:pt idx="7">
                    <c:v>30</c:v>
                  </c:pt>
                  <c:pt idx="8">
                    <c:v>40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CCB8-48FE-A4A1-55685396E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7578159"/>
        <c:axId val="1032381311"/>
      </c:barChart>
      <c:lineChart>
        <c:grouping val="standard"/>
        <c:varyColors val="0"/>
        <c:ser>
          <c:idx val="0"/>
          <c:order val="0"/>
          <c:tx>
            <c:strRef>
              <c:f>'Stock Price &amp; Dividends  (2)'!$A$15</c:f>
              <c:strCache>
                <c:ptCount val="1"/>
                <c:pt idx="0">
                  <c:v>Стоимость акции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9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'Stock Price &amp; Dividends  (2)'!$F$14:$N$14</c:f>
              <c:strCache>
                <c:ptCount val="9"/>
                <c:pt idx="0">
                  <c:v>04.08.2022</c:v>
                </c:pt>
                <c:pt idx="1">
                  <c:v>4 кв. 2022</c:v>
                </c:pt>
                <c:pt idx="2">
                  <c:v>1 кв. 2023</c:v>
                </c:pt>
                <c:pt idx="3">
                  <c:v>2 кв. 2023</c:v>
                </c:pt>
                <c:pt idx="4">
                  <c:v>3 кв. 2023</c:v>
                </c:pt>
                <c:pt idx="5">
                  <c:v>4 кв. 2023</c:v>
                </c:pt>
                <c:pt idx="6">
                  <c:v>1 кв. 2024</c:v>
                </c:pt>
                <c:pt idx="7">
                  <c:v>2 кв. 2024</c:v>
                </c:pt>
                <c:pt idx="8">
                  <c:v>3 кв. 2024</c:v>
                </c:pt>
              </c:strCache>
            </c:strRef>
          </c:cat>
          <c:val>
            <c:numRef>
              <c:f>'Stock Price &amp; Dividends  (2)'!$F$15:$N$15</c:f>
              <c:numCache>
                <c:formatCode>#,##0</c:formatCode>
                <c:ptCount val="9"/>
                <c:pt idx="0">
                  <c:v>10000</c:v>
                </c:pt>
                <c:pt idx="1">
                  <c:v>11000</c:v>
                </c:pt>
                <c:pt idx="2">
                  <c:v>11500</c:v>
                </c:pt>
                <c:pt idx="3">
                  <c:v>12000</c:v>
                </c:pt>
                <c:pt idx="4">
                  <c:v>12500</c:v>
                </c:pt>
                <c:pt idx="5">
                  <c:v>13000</c:v>
                </c:pt>
                <c:pt idx="6">
                  <c:v>13500</c:v>
                </c:pt>
                <c:pt idx="7">
                  <c:v>14000</c:v>
                </c:pt>
                <c:pt idx="8">
                  <c:v>14500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CB8-48FE-A4A1-55685396E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578159"/>
        <c:axId val="1032381311"/>
        <c:extLst/>
      </c:lineChart>
      <c:catAx>
        <c:axId val="687578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ru-RU"/>
          </a:p>
        </c:txPr>
        <c:crossAx val="1032381311"/>
        <c:crosses val="autoZero"/>
        <c:auto val="1"/>
        <c:lblAlgn val="ctr"/>
        <c:lblOffset val="100"/>
        <c:noMultiLvlLbl val="0"/>
      </c:catAx>
      <c:valAx>
        <c:axId val="1032381311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87578159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027942705843562E-2"/>
          <c:y val="3.9934541038693157E-2"/>
          <c:w val="0.91199135887252991"/>
          <c:h val="0.692335092559487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'Stock Price &amp; Dividends  (2)'!$A$11</c:f>
              <c:strCache>
                <c:ptCount val="1"/>
                <c:pt idx="0">
                  <c:v>Акционерный капитал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1.4490868034354957E-2"/>
                </c:manualLayout>
              </c:layout>
              <c:spPr>
                <a:solidFill>
                  <a:srgbClr val="7030A0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ru-RU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05-4410-A3F9-3DB38EED90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'Stock Price &amp; Dividends  (2)'!$F$8:$G$8</c15:sqref>
                  </c15:fullRef>
                </c:ext>
              </c:extLst>
              <c:f>'Stock Price &amp; Dividends  (2)'!$F$8:$G$8</c:f>
              <c:strCache>
                <c:ptCount val="2"/>
                <c:pt idx="0">
                  <c:v>Покупка объекта</c:v>
                </c:pt>
                <c:pt idx="1">
                  <c:v>3 кв.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'Stock Price &amp; Dividends  (2)'!$F$11:$K$11</c15:sqref>
                  </c15:fullRef>
                </c:ext>
              </c:extLst>
              <c:f>'Stock Price &amp; Dividends  (2)'!$F$11:$G$11</c:f>
              <c:numCache>
                <c:formatCode>#,##0</c:formatCode>
                <c:ptCount val="2"/>
                <c:pt idx="0">
                  <c:v>151.4</c:v>
                </c:pt>
                <c:pt idx="1">
                  <c:v>210.221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'Stock Price &amp; Dividends  (2)'!$K$11</c15:sqref>
                  <c15:dLbl>
                    <c:idx val="1"/>
                    <c:layout>
                      <c:manualLayout>
                        <c:x val="0"/>
                        <c:y val="-0.26451079133919886"/>
                      </c:manualLayout>
                    </c:layout>
                    <c:dLblPos val="ct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61D0-4E24-AF20-082AC38D5B5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AA05-4410-A3F9-3DB38EED90C5}"/>
            </c:ext>
          </c:extLst>
        </c:ser>
        <c:ser>
          <c:idx val="1"/>
          <c:order val="1"/>
          <c:tx>
            <c:strRef>
              <c:f>'Stock Price &amp; Dividends  (2)'!$A$12</c:f>
              <c:strCache>
                <c:ptCount val="1"/>
                <c:pt idx="0">
                  <c:v>Долг</c:v>
                </c:pt>
              </c:strCache>
            </c:strRef>
          </c:tx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05-4410-A3F9-3DB38EED90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'Stock Price &amp; Dividends  (2)'!$F$8:$G$8</c15:sqref>
                  </c15:fullRef>
                </c:ext>
              </c:extLst>
              <c:f>'Stock Price &amp; Dividends  (2)'!$F$8:$G$8</c:f>
              <c:strCache>
                <c:ptCount val="2"/>
                <c:pt idx="0">
                  <c:v>Покупка объекта</c:v>
                </c:pt>
                <c:pt idx="1">
                  <c:v>3 кв.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'Stock Price &amp; Dividends  (2)'!$F$12:$K$12</c15:sqref>
                  </c15:fullRef>
                </c:ext>
              </c:extLst>
              <c:f>'Stock Price &amp; Dividends  (2)'!$F$12:$G$12</c:f>
              <c:numCache>
                <c:formatCode>#,##0</c:formatCode>
                <c:ptCount val="2"/>
                <c:pt idx="0">
                  <c:v>303.78238399999998</c:v>
                </c:pt>
                <c:pt idx="1">
                  <c:v>290.98158931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'Stock Price &amp; Dividends  (2)'!$H$12</c15:sqref>
                  <c15:dLbl>
                    <c:idx val="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61D0-4E24-AF20-082AC38D5B52}"/>
                      </c:ext>
                    </c:extLst>
                  </c15:dLbl>
                </c15:categoryFilterException>
                <c15:categoryFilterException>
                  <c15:sqref>'Stock Price &amp; Dividends  (2)'!$I$12</c15:sqref>
                  <c15:dLbl>
                    <c:idx val="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61D0-4E24-AF20-082AC38D5B52}"/>
                      </c:ext>
                    </c:extLst>
                  </c15:dLbl>
                </c15:categoryFilterException>
                <c15:categoryFilterException>
                  <c15:sqref>'Stock Price &amp; Dividends  (2)'!$J$12</c15:sqref>
                  <c15:dLbl>
                    <c:idx val="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61D0-4E24-AF20-082AC38D5B52}"/>
                      </c:ext>
                    </c:extLst>
                  </c15:dLbl>
                </c15:categoryFilterException>
                <c15:categoryFilterException>
                  <c15:sqref>'Stock Price &amp; Dividends  (2)'!$K$12</c15:sqref>
                  <c15:dLbl>
                    <c:idx val="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61D0-4E24-AF20-082AC38D5B5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AA05-4410-A3F9-3DB38EED9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266222111"/>
        <c:axId val="521853439"/>
      </c:barChart>
      <c:barChart>
        <c:barDir val="col"/>
        <c:grouping val="clustered"/>
        <c:varyColors val="0"/>
        <c:ser>
          <c:idx val="3"/>
          <c:order val="2"/>
          <c:tx>
            <c:strRef>
              <c:f>[6]Yield_slide!$B$13</c:f>
              <c:strCache>
                <c:ptCount val="1"/>
                <c:pt idx="0">
                  <c:v>Акционерный капитал 1</c:v>
                </c:pt>
              </c:strCache>
            </c:strRef>
          </c:tx>
          <c:spPr>
            <a:prstGeom prst="rect">
              <a:avLst/>
            </a:prstGeom>
            <a:noFill/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([6]Yield_slide!$C$19:$E$19,[6]Yield_slide!$G$19)</c15:sqref>
                  </c15:fullRef>
                </c:ext>
              </c:extLst>
              <c:f>[6]Yield_slide!$C$19:$D$19</c:f>
              <c:strCache>
                <c:ptCount val="2"/>
                <c:pt idx="0">
                  <c:v>Покупка объекта</c:v>
                </c:pt>
                <c:pt idx="1">
                  <c:v>4 кв. 2021</c:v>
                </c:pt>
                <c:pt idx="2">
                  <c:v>3 кв.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[6]Yield_slide!$C$13:$E$13</c15:sqref>
                  </c15:fullRef>
                </c:ext>
              </c:extLst>
              <c:f>[6]Yield_slide!$C$13:$D$13</c:f>
              <c:numCache>
                <c:formatCode>General</c:formatCode>
                <c:ptCount val="2"/>
                <c:pt idx="0">
                  <c:v>100</c:v>
                </c:pt>
                <c:pt idx="1">
                  <c:v>104.60319581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5-4410-A3F9-3DB38EED90C5}"/>
            </c:ext>
          </c:extLst>
        </c:ser>
        <c:ser>
          <c:idx val="4"/>
          <c:order val="3"/>
          <c:tx>
            <c:strRef>
              <c:f>[6]Yield_slide!$B$14</c:f>
              <c:strCache>
                <c:ptCount val="1"/>
                <c:pt idx="0">
                  <c:v>Долг 1</c:v>
                </c:pt>
              </c:strCache>
            </c:strRef>
          </c:tx>
          <c:spPr>
            <a:prstGeom prst="rect">
              <a:avLst/>
            </a:prstGeom>
            <a:noFill/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([6]Yield_slide!$C$19:$E$19,[6]Yield_slide!$G$19)</c15:sqref>
                  </c15:fullRef>
                </c:ext>
              </c:extLst>
              <c:f>[6]Yield_slide!$C$19:$D$19</c:f>
              <c:strCache>
                <c:ptCount val="2"/>
                <c:pt idx="0">
                  <c:v>Покупка объекта</c:v>
                </c:pt>
                <c:pt idx="1">
                  <c:v>4 кв. 2021</c:v>
                </c:pt>
                <c:pt idx="2">
                  <c:v>1 кв. 2022</c:v>
                </c:pt>
                <c:pt idx="3">
                  <c:v>3 кв. 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[6]Yield_slide!$C$14:$D$14</c15:sqref>
                  </c15:fullRef>
                </c:ext>
              </c:extLst>
              <c:f>[6]Yield_slide!$C$14:$D$14</c:f>
              <c:numCache>
                <c:formatCode>General</c:formatCode>
                <c:ptCount val="2"/>
                <c:pt idx="0">
                  <c:v>40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05-4410-A3F9-3DB38EED90C5}"/>
            </c:ext>
          </c:extLst>
        </c:ser>
        <c:ser>
          <c:idx val="5"/>
          <c:order val="4"/>
          <c:tx>
            <c:strRef>
              <c:f>'Stock Price &amp; Dividends  (2)'!$A$10</c:f>
              <c:strCache>
                <c:ptCount val="1"/>
                <c:pt idx="0">
                  <c:v>Рыночная стоимость объекта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([6]Yield_slide!$C$19:$E$19,[6]Yield_slide!$G$19)</c15:sqref>
                  </c15:fullRef>
                </c:ext>
              </c:extLst>
              <c:f>[6]Yield_slide!$C$19:$D$19</c:f>
              <c:strCache>
                <c:ptCount val="2"/>
                <c:pt idx="0">
                  <c:v>Покупка объекта</c:v>
                </c:pt>
                <c:pt idx="1">
                  <c:v>4 кв.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'Stock Price &amp; Dividends  (2)'!$F$10:$K$10</c15:sqref>
                  </c15:fullRef>
                </c:ext>
              </c:extLst>
              <c:f>'Stock Price &amp; Dividends  (2)'!$F$10:$G$10</c:f>
              <c:numCache>
                <c:formatCode>#,##0</c:formatCode>
                <c:ptCount val="2"/>
                <c:pt idx="0">
                  <c:v>375</c:v>
                </c:pt>
                <c:pt idx="1">
                  <c:v>414.03831040999995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05-4410-A3F9-3DB38EED9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533811759"/>
        <c:axId val="717397887"/>
      </c:barChart>
      <c:catAx>
        <c:axId val="266222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521853439"/>
        <c:crosses val="autoZero"/>
        <c:auto val="1"/>
        <c:lblAlgn val="ctr"/>
        <c:lblOffset val="100"/>
        <c:noMultiLvlLbl val="0"/>
      </c:catAx>
      <c:valAx>
        <c:axId val="521853439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266222111"/>
        <c:crossesAt val="1"/>
        <c:crossBetween val="between"/>
      </c:valAx>
      <c:valAx>
        <c:axId val="71739788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one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533811759"/>
        <c:crosses val="max"/>
        <c:crossBetween val="between"/>
      </c:valAx>
      <c:catAx>
        <c:axId val="533811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7397887"/>
        <c:crosses val="autoZero"/>
        <c:auto val="1"/>
        <c:lblAlgn val="ctr"/>
        <c:lblOffset val="100"/>
        <c:noMultiLvlLbl val="0"/>
      </c:catAx>
      <c:spPr>
        <a:prstGeom prst="rect">
          <a:avLst/>
        </a:prstGeom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0010235981235713"/>
          <c:y val="0.73954458529342937"/>
          <c:w val="0.87824673244783158"/>
          <c:h val="0.2220267729623742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'Stock Price &amp; Dividends '!$A$16</c:f>
              <c:strCache>
                <c:ptCount val="1"/>
                <c:pt idx="0">
                  <c:v>Дивиденды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98915FC-4B99-4CEE-973C-40EB5766E7DF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1FD-4C6C-9F80-899EF370763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C797F59-3442-473C-BB99-605E26E4017D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1FD-4C6C-9F80-899EF37076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'Stock Price &amp; Dividends '!$F$14:$G$14</c:f>
              <c:strCache>
                <c:ptCount val="2"/>
                <c:pt idx="0">
                  <c:v>Покупка объекта</c:v>
                </c:pt>
                <c:pt idx="1">
                  <c:v>3 кв. 2024</c:v>
                </c:pt>
              </c:strCache>
            </c:strRef>
          </c:cat>
          <c:val>
            <c:numRef>
              <c:f>'Stock Price &amp; Dividends '!$F$16:$G$16</c:f>
              <c:numCache>
                <c:formatCode>#,##0</c:formatCode>
                <c:ptCount val="2"/>
                <c:pt idx="0">
                  <c:v>0</c:v>
                </c:pt>
                <c:pt idx="1">
                  <c:v>10000</c:v>
                </c:pt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datalabelsRange>
                <c15:f>'Stock Price &amp; Dividends '!$F$17:$L$17</c15:f>
                <c15:dlblRangeCache>
                  <c:ptCount val="7"/>
                  <c:pt idx="1">
                    <c:v>400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F1FD-4C6C-9F80-899EF3707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7578159"/>
        <c:axId val="1032381311"/>
      </c:barChart>
      <c:lineChart>
        <c:grouping val="standard"/>
        <c:varyColors val="0"/>
        <c:ser>
          <c:idx val="0"/>
          <c:order val="0"/>
          <c:tx>
            <c:strRef>
              <c:f>'Stock Price &amp; Dividends '!$A$15</c:f>
              <c:strCache>
                <c:ptCount val="1"/>
                <c:pt idx="0">
                  <c:v>Стоимость акции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9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'Stock Price &amp; Dividends '!$F$14:$G$14</c:f>
              <c:strCache>
                <c:ptCount val="2"/>
                <c:pt idx="0">
                  <c:v>Покупка объекта</c:v>
                </c:pt>
                <c:pt idx="1">
                  <c:v>3 кв. 2024</c:v>
                </c:pt>
              </c:strCache>
            </c:strRef>
          </c:cat>
          <c:val>
            <c:numRef>
              <c:f>'Stock Price &amp; Dividends '!$F$15:$G$15</c:f>
              <c:numCache>
                <c:formatCode>#,##0</c:formatCode>
                <c:ptCount val="2"/>
                <c:pt idx="0">
                  <c:v>20000</c:v>
                </c:pt>
                <c:pt idx="1">
                  <c:v>22000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FD-4C6C-9F80-899EF3707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578159"/>
        <c:axId val="1032381311"/>
        <c:extLst/>
      </c:lineChart>
      <c:catAx>
        <c:axId val="687578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ru-RU"/>
          </a:p>
        </c:txPr>
        <c:crossAx val="1032381311"/>
        <c:crosses val="autoZero"/>
        <c:auto val="1"/>
        <c:lblAlgn val="ctr"/>
        <c:lblOffset val="100"/>
        <c:noMultiLvlLbl val="0"/>
      </c:catAx>
      <c:valAx>
        <c:axId val="1032381311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87578159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8.4086816250756133E-2"/>
          <c:w val="1"/>
          <c:h val="0.662572225196598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'Stock Price &amp; Dividends '!$A$11</c:f>
              <c:strCache>
                <c:ptCount val="1"/>
                <c:pt idx="0">
                  <c:v>Акционерный капитал 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0" tIns="0" rIns="0" bIns="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'Stock Price &amp; Dividends '!$F$2:$G$2</c15:sqref>
                  </c15:fullRef>
                </c:ext>
              </c:extLst>
              <c:f>'Stock Price &amp; Dividends '!$F$2:$G$2</c:f>
              <c:strCache>
                <c:ptCount val="2"/>
                <c:pt idx="0">
                  <c:v>Покупка объекта</c:v>
                </c:pt>
                <c:pt idx="1">
                  <c:v>3 кв.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'Stock Price &amp; Dividends '!$F$11:$G$11</c15:sqref>
                  </c15:fullRef>
                </c:ext>
              </c:extLst>
              <c:f>'Stock Price &amp; Dividends '!$F$11:$G$11</c:f>
              <c:numCache>
                <c:formatCode>#,##0</c:formatCode>
                <c:ptCount val="2"/>
                <c:pt idx="0">
                  <c:v>151.4</c:v>
                </c:pt>
                <c:pt idx="1">
                  <c:v>210.221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A-41BB-B8AD-AA936A207F60}"/>
            </c:ext>
          </c:extLst>
        </c:ser>
        <c:ser>
          <c:idx val="1"/>
          <c:order val="1"/>
          <c:tx>
            <c:strRef>
              <c:f>'Stock Price &amp; Dividends '!$A$12</c:f>
              <c:strCache>
                <c:ptCount val="1"/>
                <c:pt idx="0">
                  <c:v>Долг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0" tIns="0" rIns="0" bIns="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'Stock Price &amp; Dividends '!$F$2:$G$2</c15:sqref>
                  </c15:fullRef>
                </c:ext>
              </c:extLst>
              <c:f>'Stock Price &amp; Dividends '!$F$2:$G$2</c:f>
              <c:strCache>
                <c:ptCount val="2"/>
                <c:pt idx="0">
                  <c:v>Покупка объекта</c:v>
                </c:pt>
                <c:pt idx="1">
                  <c:v>3 кв.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'Stock Price &amp; Dividends '!$F$12:$G$12</c15:sqref>
                  </c15:fullRef>
                </c:ext>
              </c:extLst>
              <c:f>'Stock Price &amp; Dividends '!$F$12:$G$12</c:f>
              <c:numCache>
                <c:formatCode>#,##0</c:formatCode>
                <c:ptCount val="2"/>
                <c:pt idx="0">
                  <c:v>303.78238399999998</c:v>
                </c:pt>
                <c:pt idx="1">
                  <c:v>290.98158931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EA-41BB-B8AD-AA936A207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0"/>
        <c:overlap val="100"/>
        <c:axId val="266222111"/>
        <c:axId val="521853439"/>
      </c:barChart>
      <c:barChart>
        <c:barDir val="col"/>
        <c:grouping val="clustered"/>
        <c:varyColors val="0"/>
        <c:ser>
          <c:idx val="3"/>
          <c:order val="2"/>
          <c:tx>
            <c:strRef>
              <c:f>[8]Yield_slide!$B$13</c:f>
              <c:strCache>
                <c:ptCount val="1"/>
                <c:pt idx="0">
                  <c:v>#ССЫЛКА!</c:v>
                </c:pt>
              </c:strCache>
            </c:strRef>
          </c:tx>
          <c:spPr>
            <a:prstGeom prst="rect">
              <a:avLst/>
            </a:prstGeom>
            <a:noFill/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([7]Yield_slide!$C$19:$E$19,[7]Yield_slide!$G$19)</c15:sqref>
                  </c15:fullRef>
                </c:ext>
              </c:extLst>
              <c:f>([7]Yield_slide!$C$19:$D$19,[7]Yield_slide!$G$19)</c:f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[7]Yield_slide!$C$13:$E$13</c15:sqref>
                  </c15:fullRef>
                </c:ext>
              </c:extLst>
              <c:f>[7]Yield_slide!$C$13:$D$13</c:f>
            </c:numRef>
          </c:val>
          <c:extLst>
            <c:ext xmlns:c16="http://schemas.microsoft.com/office/drawing/2014/chart" uri="{C3380CC4-5D6E-409C-BE32-E72D297353CC}">
              <c16:uniqueId val="{00000002-8BEA-41BB-B8AD-AA936A207F60}"/>
            </c:ext>
          </c:extLst>
        </c:ser>
        <c:ser>
          <c:idx val="4"/>
          <c:order val="3"/>
          <c:tx>
            <c:strRef>
              <c:f>[8]Yield_slide!$B$14</c:f>
              <c:strCache>
                <c:ptCount val="1"/>
                <c:pt idx="0">
                  <c:v>#ССЫЛКА!</c:v>
                </c:pt>
              </c:strCache>
            </c:strRef>
          </c:tx>
          <c:spPr>
            <a:prstGeom prst="rect">
              <a:avLst/>
            </a:prstGeom>
            <a:noFill/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([7]Yield_slide!$C$19:$E$19,[7]Yield_slide!$G$19)</c15:sqref>
                  </c15:fullRef>
                </c:ext>
              </c:extLst>
              <c:f>([7]Yield_slide!$C$19:$D$19,[7]Yield_slide!$G$19)</c:f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[7]Yield_slide!$C$14:$D$14</c15:sqref>
                  </c15:fullRef>
                </c:ext>
              </c:extLst>
              <c:f>[7]Yield_slide!$C$14:$D$14</c:f>
            </c:numRef>
          </c:val>
          <c:extLst>
            <c:ext xmlns:c16="http://schemas.microsoft.com/office/drawing/2014/chart" uri="{C3380CC4-5D6E-409C-BE32-E72D297353CC}">
              <c16:uniqueId val="{00000003-8BEA-41BB-B8AD-AA936A207F60}"/>
            </c:ext>
          </c:extLst>
        </c:ser>
        <c:ser>
          <c:idx val="5"/>
          <c:order val="4"/>
          <c:tx>
            <c:strRef>
              <c:f>'Stock Price &amp; Dividends '!$A$10</c:f>
              <c:strCache>
                <c:ptCount val="1"/>
                <c:pt idx="0">
                  <c:v>Рыночная стоимость объекта 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0" tIns="0" rIns="0" bIns="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([7]Yield_slide!$C$19:$E$19,[7]Yield_slide!$G$19)</c15:sqref>
                  </c15:fullRef>
                </c:ext>
              </c:extLst>
              <c:f>([7]Yield_slide!$C$19:$D$19,[7]Yield_slide!$G$19)</c:f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'Stock Price &amp; Dividends '!$F$10:$G$10</c15:sqref>
                  </c15:fullRef>
                </c:ext>
              </c:extLst>
              <c:f>'Stock Price &amp; Dividends '!$F$10:$G$10</c:f>
              <c:numCache>
                <c:formatCode>#,##0</c:formatCode>
                <c:ptCount val="2"/>
                <c:pt idx="0">
                  <c:v>375</c:v>
                </c:pt>
                <c:pt idx="1">
                  <c:v>414.03831040999995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EA-41BB-B8AD-AA936A207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811759"/>
        <c:axId val="717397887"/>
      </c:barChart>
      <c:catAx>
        <c:axId val="266222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900"/>
            </a:pPr>
            <a:endParaRPr lang="ru-RU"/>
          </a:p>
        </c:txPr>
        <c:crossAx val="521853439"/>
        <c:crosses val="autoZero"/>
        <c:auto val="1"/>
        <c:lblAlgn val="ctr"/>
        <c:lblOffset val="100"/>
        <c:noMultiLvlLbl val="0"/>
      </c:catAx>
      <c:valAx>
        <c:axId val="521853439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266222111"/>
        <c:crossesAt val="1"/>
        <c:crossBetween val="between"/>
      </c:valAx>
      <c:valAx>
        <c:axId val="717397887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533811759"/>
        <c:crosses val="max"/>
        <c:crossBetween val="between"/>
      </c:valAx>
      <c:catAx>
        <c:axId val="533811759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7397887"/>
        <c:crosses val="max"/>
        <c:auto val="1"/>
        <c:lblAlgn val="ctr"/>
        <c:lblOffset val="100"/>
        <c:noMultiLvlLbl val="0"/>
      </c:catAx>
      <c:spPr>
        <a:prstGeom prst="rect">
          <a:avLst/>
        </a:prstGeom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1620836224008788"/>
          <c:y val="0.84049280539436821"/>
          <c:w val="0.80636111184202508"/>
          <c:h val="0.11191172388235805"/>
        </c:manualLayout>
      </c:layout>
      <c:overlay val="0"/>
    </c:legend>
    <c:plotVisOnly val="1"/>
    <c:dispBlanksAs val="gap"/>
    <c:showDLblsOverMax val="0"/>
  </c:chart>
  <c:spPr>
    <a:xfrm>
      <a:off x="0" y="0"/>
      <a:ext cx="0" cy="0"/>
    </a:xfrm>
    <a:prstGeom prst="rect">
      <a:avLst/>
    </a:prstGeom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112568</xdr:rowOff>
    </xdr:from>
    <xdr:to>
      <xdr:col>13</xdr:col>
      <xdr:colOff>400050</xdr:colOff>
      <xdr:row>41</xdr:row>
      <xdr:rowOff>43295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3783C67-E5EB-4544-AA91-85ADF91F8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87041"/>
          <a:ext cx="21791468" cy="170410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41564</xdr:rowOff>
    </xdr:from>
    <xdr:to>
      <xdr:col>5</xdr:col>
      <xdr:colOff>326572</xdr:colOff>
      <xdr:row>48</xdr:row>
      <xdr:rowOff>124691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0C9611A-E210-46FF-928B-DFADDCFFC8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618259</xdr:colOff>
      <xdr:row>24</xdr:row>
      <xdr:rowOff>45526</xdr:rowOff>
    </xdr:from>
    <xdr:to>
      <xdr:col>13</xdr:col>
      <xdr:colOff>665613</xdr:colOff>
      <xdr:row>48</xdr:row>
      <xdr:rowOff>124691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2F564383-9241-4D17-A20E-11E748A42E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367392</xdr:colOff>
      <xdr:row>26</xdr:row>
      <xdr:rowOff>13607</xdr:rowOff>
    </xdr:from>
    <xdr:to>
      <xdr:col>13</xdr:col>
      <xdr:colOff>852714</xdr:colOff>
      <xdr:row>39</xdr:row>
      <xdr:rowOff>140607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42FC13-159B-4F81-8951-AF124A0DE2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404132</xdr:colOff>
      <xdr:row>11</xdr:row>
      <xdr:rowOff>77990</xdr:rowOff>
    </xdr:from>
    <xdr:to>
      <xdr:col>29</xdr:col>
      <xdr:colOff>71845</xdr:colOff>
      <xdr:row>23</xdr:row>
      <xdr:rowOff>156457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6CD1A5-BA16-4A48-B7CC-AA4667100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419612</xdr:colOff>
      <xdr:row>22</xdr:row>
      <xdr:rowOff>73447</xdr:rowOff>
    </xdr:from>
    <xdr:to>
      <xdr:col>10</xdr:col>
      <xdr:colOff>217789</xdr:colOff>
      <xdr:row>35</xdr:row>
      <xdr:rowOff>192826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E31202-429C-4486-8980-E7E36BAC3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203976</xdr:colOff>
      <xdr:row>17</xdr:row>
      <xdr:rowOff>135429</xdr:rowOff>
    </xdr:from>
    <xdr:to>
      <xdr:col>24</xdr:col>
      <xdr:colOff>362663</xdr:colOff>
      <xdr:row>30</xdr:row>
      <xdr:rowOff>84466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80BB8A6B-80DF-491C-BBF5-4A544351D6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0</xdr:rowOff>
    </xdr:from>
    <xdr:to>
      <xdr:col>19</xdr:col>
      <xdr:colOff>829056</xdr:colOff>
      <xdr:row>11</xdr:row>
      <xdr:rowOff>89293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55EDAE8-EDBF-46D1-BA0A-E9783C533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2190476" cy="1933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mpl/Downloads/Telegram%20Desktop/Slavas%20vers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mpl/YandexDisk/SimpleEstate/&#1040;&#1054;%204%20-%20&#1051;&#1099;&#1090;&#1082;&#1072;&#1088;&#1080;&#1085;&#1086;-/Model/&#1052;&#1086;&#1076;&#1077;&#1083;&#1100;%20&#1089;%20&#1082;&#1072;&#1083;&#1100;&#1082;&#1091;&#1083;&#1103;&#1090;&#1086;&#1088;&#1086;&#1084;%20&#1076;&#1083;&#1103;%20HNWI/&#1052;&#1086;&#1076;&#1077;&#1083;&#1100;_&#1051;&#1099;&#1090;&#1082;&#1072;&#1088;&#1080;&#1085;&#1086;_&#1082;&#1072;&#1083;&#1100;&#1082;&#1091;&#1083;&#1103;&#1090;&#1086;&#1088;_&#1082;&#1088;&#1091;&#1087;&#1085;&#1099;&#1081;%20&#1080;&#1085;&#1074;&#1077;&#1089;&#1090;&#1086;&#108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mpl/YandexDisk/SimpleEstate/Quarter%20Reports/04%20Magnit%20Lyubertsy/202303_Magnit%20Lybertsy_&#1050;&#1074;&#1072;&#1088;&#1090;&#1072;&#1083;&#1100;&#1085;&#1099;&#1081;_&#1086;&#1090;&#1095;&#1077;&#1090;/VR_&#1052;&#1072;&#1075;&#1085;&#1080;&#1090;_&#1074;_&#1051;&#1102;&#1073;&#1077;&#1088;&#1094;&#1072;&#1093;_3Q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impleEstate/Assets/2023/&#1052;&#1072;&#1075;&#1085;&#1080;&#1090;%20&#1051;&#1102;&#1073;&#1077;&#1088;&#1094;&#1099;/&#1052;&#1072;&#1075;&#1085;&#1080;&#1090;%20&#1074;%20&#1051;&#1102;&#1073;&#1077;&#1088;&#1094;&#1072;&#1093;%20(&#1084;&#1086;&#1076;&#1077;&#1083;&#1100;)%20&#1089;%20&#1082;&#1072;&#1083;&#1100;&#1082;&#1091;&#1083;&#1103;&#1090;&#1086;&#1088;&#1086;&#108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1/Desktop/VVR%20Desk%202024/&#1050;&#1074;&#1072;&#1088;&#1090;&#1072;&#1083;&#1100;&#1085;&#1099;&#1077;%20&#1086;&#1090;&#1095;&#1077;&#1090;&#1099;%203%20&#1082;&#1074;%202024/&#1040;&#1054;%206/VR_&#1055;&#1077;&#1088;&#1077;&#1082;&#1088;&#1077;&#1089;&#1090;&#1086;&#1082;_&#1074;_&#1055;&#1088;&#1086;&#1082;&#1096;&#1080;&#1085;&#1086;_3Q2024_15mn_Deb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mpl/YandexDisk/SimpleEstate/&#1040;&#1054;%205%20-%20&#1051;&#1077;&#1085;&#1090;&#1072;-/01%20Model/MASTER_FM_Nsk_Lent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8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ounds_IRR"/>
      <sheetName val="Inputs"/>
      <sheetName val="Calculations"/>
      <sheetName val="Расчет доли Перекрестка"/>
      <sheetName val="Аналоги + таблицы"/>
      <sheetName val="Notes"/>
      <sheetName val="Перек"/>
      <sheetName val="Nikita_old"/>
    </sheetNames>
    <sheetDataSet>
      <sheetData sheetId="0">
        <row r="30">
          <cell r="E30">
            <v>0</v>
          </cell>
        </row>
        <row r="32">
          <cell r="E32">
            <v>0</v>
          </cell>
        </row>
        <row r="38">
          <cell r="E38">
            <v>0</v>
          </cell>
        </row>
        <row r="44">
          <cell r="E44">
            <v>0</v>
          </cell>
        </row>
        <row r="46">
          <cell r="E46">
            <v>0</v>
          </cell>
        </row>
        <row r="48">
          <cell r="E48">
            <v>0</v>
          </cell>
        </row>
      </sheetData>
      <sheetData sheetId="1"/>
      <sheetData sheetId="2">
        <row r="89">
          <cell r="C89" t="str">
            <v>Дата для расчета IRR</v>
          </cell>
          <cell r="H89">
            <v>44773</v>
          </cell>
          <cell r="I89">
            <v>44834</v>
          </cell>
          <cell r="J89">
            <v>44926</v>
          </cell>
          <cell r="K89">
            <v>45016</v>
          </cell>
          <cell r="L89">
            <v>45107</v>
          </cell>
          <cell r="M89">
            <v>45199</v>
          </cell>
          <cell r="N89">
            <v>45291</v>
          </cell>
          <cell r="O89">
            <v>45382</v>
          </cell>
          <cell r="P89">
            <v>45473</v>
          </cell>
          <cell r="Q89">
            <v>45565</v>
          </cell>
          <cell r="R89">
            <v>45657</v>
          </cell>
          <cell r="S89">
            <v>45747</v>
          </cell>
          <cell r="T89">
            <v>45838</v>
          </cell>
          <cell r="U89">
            <v>45930</v>
          </cell>
          <cell r="V89">
            <v>46022</v>
          </cell>
          <cell r="W89">
            <v>46112</v>
          </cell>
          <cell r="X89">
            <v>46203</v>
          </cell>
          <cell r="Y89">
            <v>46295</v>
          </cell>
          <cell r="Z89">
            <v>46387</v>
          </cell>
          <cell r="AA89">
            <v>46477</v>
          </cell>
          <cell r="AB89">
            <v>46568</v>
          </cell>
          <cell r="AC89">
            <v>46660</v>
          </cell>
          <cell r="AD89">
            <v>46752</v>
          </cell>
          <cell r="AE89">
            <v>46843</v>
          </cell>
          <cell r="AF89">
            <v>46934</v>
          </cell>
          <cell r="AG89">
            <v>47026</v>
          </cell>
          <cell r="AH89">
            <v>47118</v>
          </cell>
          <cell r="AI89">
            <v>47208</v>
          </cell>
          <cell r="AJ89">
            <v>47299</v>
          </cell>
          <cell r="AK89">
            <v>47391</v>
          </cell>
          <cell r="AL89">
            <v>47483</v>
          </cell>
          <cell r="AM89">
            <v>47573</v>
          </cell>
          <cell r="AN89">
            <v>47664</v>
          </cell>
          <cell r="AO89">
            <v>47756</v>
          </cell>
          <cell r="AP89">
            <v>47848</v>
          </cell>
          <cell r="AQ89">
            <v>47938</v>
          </cell>
          <cell r="AR89">
            <v>48029</v>
          </cell>
          <cell r="AS89">
            <v>48121</v>
          </cell>
          <cell r="AT89">
            <v>48213</v>
          </cell>
          <cell r="AU89">
            <v>48304</v>
          </cell>
          <cell r="AV89">
            <v>48395</v>
          </cell>
          <cell r="AW89">
            <v>48487</v>
          </cell>
          <cell r="AX89">
            <v>48579</v>
          </cell>
          <cell r="AY89">
            <v>48669</v>
          </cell>
          <cell r="AZ89">
            <v>48760</v>
          </cell>
          <cell r="BA89">
            <v>48852</v>
          </cell>
          <cell r="BB89">
            <v>48944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тор инвестора"/>
      <sheetName val="Магнит Лыткарино"/>
      <sheetName val="ВВЭ и заселение "/>
    </sheetNames>
    <sheetDataSet>
      <sheetData sheetId="0">
        <row r="131">
          <cell r="C131" t="str">
            <v>Покупка</v>
          </cell>
        </row>
      </sheetData>
      <sheetData sheetId="1">
        <row r="78">
          <cell r="C78">
            <v>1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nit Lybertsy_model"/>
      <sheetName val="Managing report_3Q23 "/>
      <sheetName val="PL &amp; CF Accounting forms "/>
      <sheetName val="Stock Price &amp; Dividends "/>
      <sheetName val="Revenue recorded"/>
      <sheetName val="Debt files"/>
    </sheetNames>
    <sheetDataSet>
      <sheetData sheetId="0" refreshError="1">
        <row r="61">
          <cell r="C61">
            <v>0</v>
          </cell>
        </row>
        <row r="98">
          <cell r="J98" t="str">
            <v>2 кв.2024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тор инвестора"/>
      <sheetName val="Магнит Люберцы_10_лет"/>
    </sheetNames>
    <sheetDataSet>
      <sheetData sheetId="0"/>
      <sheetData sheetId="1">
        <row r="61">
          <cell r="C61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ekrestok Prokshino_model"/>
      <sheetName val="Когорты ввода и заселения"/>
      <sheetName val="Debt files"/>
      <sheetName val="Managing report_3Q24"/>
      <sheetName val="Stock Price &amp; Dividends "/>
      <sheetName val="Revenue recorded"/>
      <sheetName val="Лист1"/>
      <sheetName val="Отчетность АО6 2024"/>
      <sheetName val="PL &amp; CF Accounting forms 2023"/>
      <sheetName val="Managing report_4Q23 "/>
      <sheetName val="Utility payments"/>
      <sheetName val="Graphs"/>
    </sheetNames>
    <sheetDataSet>
      <sheetData sheetId="0">
        <row r="109">
          <cell r="H109" t="str">
            <v>4 кв. 2022</v>
          </cell>
          <cell r="I109" t="str">
            <v>1 кв. 2023</v>
          </cell>
          <cell r="J109" t="str">
            <v>2 кв. 2023</v>
          </cell>
          <cell r="K109" t="str">
            <v>3 кв. 2023</v>
          </cell>
          <cell r="L109" t="str">
            <v>4 кв. 2023</v>
          </cell>
          <cell r="M109" t="str">
            <v>1 кв. 2024</v>
          </cell>
          <cell r="N109" t="str">
            <v>2 кв. 2024</v>
          </cell>
          <cell r="O109" t="str">
            <v>3 кв. 2024</v>
          </cell>
          <cell r="P109" t="str">
            <v>4 кв. 2024</v>
          </cell>
        </row>
        <row r="178">
          <cell r="H178">
            <v>11000</v>
          </cell>
          <cell r="I178">
            <v>11500</v>
          </cell>
          <cell r="J178">
            <v>12000</v>
          </cell>
          <cell r="K178">
            <v>12500</v>
          </cell>
          <cell r="L178">
            <v>13000</v>
          </cell>
          <cell r="M178">
            <v>13500</v>
          </cell>
          <cell r="N178">
            <v>14000</v>
          </cell>
          <cell r="O178">
            <v>14500</v>
          </cell>
        </row>
      </sheetData>
      <sheetData sheetId="1" refreshError="1"/>
      <sheetData sheetId="2" refreshError="1"/>
      <sheetData sheetId="3" refreshError="1"/>
      <sheetData sheetId="4">
        <row r="10">
          <cell r="A10" t="str">
            <v xml:space="preserve">Рыночная стоимость объекта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нта - СБЕР (факт)"/>
      <sheetName val="Yield_slide"/>
      <sheetName val="Отчет 3Q2022"/>
      <sheetName val="Отчет 2Q2022"/>
      <sheetName val="Отчет 1Q2022"/>
      <sheetName val="Отчет 4Q2021"/>
      <sheetName val="Лента - СБЕР"/>
      <sheetName val="Лента - Модель"/>
      <sheetName val="РТО (2020-2021)"/>
    </sheetNames>
    <sheetDataSet>
      <sheetData sheetId="0"/>
      <sheetData sheetId="1">
        <row r="13">
          <cell r="B13" t="str">
            <v>Акционерный капитал 1</v>
          </cell>
          <cell r="C13">
            <v>100</v>
          </cell>
          <cell r="D13">
            <v>104.60319581</v>
          </cell>
          <cell r="E13">
            <v>107.22532018</v>
          </cell>
        </row>
        <row r="14">
          <cell r="B14" t="str">
            <v>Долг 1</v>
          </cell>
          <cell r="C14">
            <v>40</v>
          </cell>
          <cell r="D14">
            <v>40</v>
          </cell>
        </row>
        <row r="19">
          <cell r="C19" t="str">
            <v>Покупка объекта</v>
          </cell>
          <cell r="D19" t="str">
            <v>4 кв. 2021</v>
          </cell>
          <cell r="E19" t="str">
            <v>1 кв. 2022</v>
          </cell>
          <cell r="G19" t="str">
            <v>3 кв. 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_slide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_slid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C790B-3019-451C-899D-EB0F730378BA}">
  <sheetPr>
    <tabColor rgb="FF7030A0"/>
  </sheetPr>
  <dimension ref="A1:DR193"/>
  <sheetViews>
    <sheetView showGridLines="0" tabSelected="1" topLeftCell="A12" zoomScale="50" zoomScaleNormal="50" workbookViewId="0">
      <selection activeCell="D16" sqref="D16"/>
    </sheetView>
  </sheetViews>
  <sheetFormatPr defaultColWidth="8.88671875" defaultRowHeight="15" zeroHeight="1"/>
  <cols>
    <col min="1" max="1" width="71.21875" style="395" customWidth="1"/>
    <col min="2" max="2" width="15.44140625" style="396" bestFit="1" customWidth="1"/>
    <col min="3" max="3" width="19.44140625" style="395" customWidth="1"/>
    <col min="4" max="4" width="26.109375" style="395" customWidth="1"/>
    <col min="5" max="5" width="18.109375" style="395" customWidth="1"/>
    <col min="6" max="6" width="25.6640625" style="395" customWidth="1"/>
    <col min="7" max="8" width="15.88671875" style="395" customWidth="1"/>
    <col min="9" max="9" width="42.33203125" style="395" customWidth="1"/>
    <col min="10" max="10" width="14.88671875" style="395" bestFit="1" customWidth="1"/>
    <col min="11" max="12" width="15.88671875" style="395" customWidth="1"/>
    <col min="13" max="13" width="14.6640625" style="395" bestFit="1" customWidth="1"/>
    <col min="14" max="14" width="14.5546875" style="395" bestFit="1" customWidth="1"/>
    <col min="15" max="15" width="14.5546875" style="395" customWidth="1"/>
    <col min="16" max="85" width="18.88671875" style="395" customWidth="1"/>
    <col min="86" max="122" width="14.21875" style="395" customWidth="1"/>
    <col min="123" max="16384" width="8.88671875" style="395"/>
  </cols>
  <sheetData>
    <row r="1" spans="1:16" hidden="1">
      <c r="C1" s="395">
        <v>1</v>
      </c>
    </row>
    <row r="2" spans="1:16" hidden="1">
      <c r="C2" s="395">
        <v>2</v>
      </c>
    </row>
    <row r="3" spans="1:16" hidden="1">
      <c r="C3" s="395">
        <v>3</v>
      </c>
    </row>
    <row r="4" spans="1:16" hidden="1">
      <c r="C4" s="395">
        <v>4</v>
      </c>
    </row>
    <row r="5" spans="1:16" hidden="1">
      <c r="C5" s="395">
        <v>5</v>
      </c>
    </row>
    <row r="6" spans="1:16" hidden="1">
      <c r="C6" s="395">
        <v>6</v>
      </c>
    </row>
    <row r="7" spans="1:16" hidden="1">
      <c r="C7" s="395">
        <v>7</v>
      </c>
    </row>
    <row r="8" spans="1:16" hidden="1">
      <c r="C8" s="395">
        <v>8</v>
      </c>
    </row>
    <row r="9" spans="1:16" hidden="1">
      <c r="C9" s="395">
        <v>9</v>
      </c>
    </row>
    <row r="10" spans="1:16" hidden="1">
      <c r="C10" s="395">
        <v>10</v>
      </c>
    </row>
    <row r="12" spans="1:16" ht="30.6" thickBot="1">
      <c r="A12" s="397" t="s">
        <v>156</v>
      </c>
      <c r="B12" s="398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</row>
    <row r="13" spans="1:16"/>
    <row r="14" spans="1:16" s="404" customFormat="1" ht="17.399999999999999">
      <c r="A14" s="400" t="s">
        <v>133</v>
      </c>
      <c r="B14" s="400"/>
      <c r="C14" s="401" t="s">
        <v>134</v>
      </c>
      <c r="D14" s="401"/>
      <c r="E14" s="402"/>
      <c r="F14" s="402"/>
      <c r="G14" s="400" t="s">
        <v>135</v>
      </c>
      <c r="H14" s="401"/>
      <c r="I14" s="401"/>
      <c r="J14" s="401" t="s">
        <v>134</v>
      </c>
      <c r="K14" s="401"/>
      <c r="L14" s="403"/>
      <c r="M14" s="395"/>
      <c r="N14" s="403"/>
      <c r="O14" s="403"/>
    </row>
    <row r="15" spans="1:16" s="404" customFormat="1" ht="17.399999999999999">
      <c r="A15" s="405" t="s">
        <v>136</v>
      </c>
      <c r="C15" s="406" t="s">
        <v>137</v>
      </c>
      <c r="D15" s="407">
        <f>VLOOKUP($D$16,$L$16:$M$19,2)</f>
        <v>45747</v>
      </c>
      <c r="E15" s="408"/>
      <c r="F15" s="406"/>
      <c r="G15" s="405" t="s">
        <v>138</v>
      </c>
      <c r="J15" s="406" t="s">
        <v>139</v>
      </c>
      <c r="K15" s="409">
        <f>MAX($B$31:$DR$31)</f>
        <v>3531905.6978402855</v>
      </c>
      <c r="L15" s="410"/>
      <c r="M15" s="410"/>
      <c r="N15" s="403"/>
      <c r="O15" s="403"/>
      <c r="P15" s="403"/>
    </row>
    <row r="16" spans="1:16" s="404" customFormat="1" ht="18" thickBot="1">
      <c r="A16" s="405" t="s">
        <v>140</v>
      </c>
      <c r="C16" s="406"/>
      <c r="D16" s="463">
        <v>4</v>
      </c>
      <c r="E16" s="411" t="s">
        <v>141</v>
      </c>
      <c r="F16" s="406"/>
      <c r="G16" s="412" t="s">
        <v>142</v>
      </c>
      <c r="J16" s="413" t="s">
        <v>137</v>
      </c>
      <c r="K16" s="414">
        <f>K15/D19</f>
        <v>3.5319056978402856</v>
      </c>
      <c r="L16" s="415">
        <v>1</v>
      </c>
      <c r="M16" s="416">
        <v>45442</v>
      </c>
      <c r="N16" s="417">
        <v>20000</v>
      </c>
      <c r="O16" s="476"/>
      <c r="P16" s="477"/>
    </row>
    <row r="17" spans="1:122" s="404" customFormat="1" ht="18" thickBot="1">
      <c r="A17" s="405" t="s">
        <v>143</v>
      </c>
      <c r="C17" s="408" t="s">
        <v>144</v>
      </c>
      <c r="D17" s="125">
        <v>10</v>
      </c>
      <c r="E17" s="411" t="s">
        <v>145</v>
      </c>
      <c r="G17" s="405" t="s">
        <v>146</v>
      </c>
      <c r="J17" s="406" t="s">
        <v>139</v>
      </c>
      <c r="K17" s="409">
        <f>SUM(B32:DR32)</f>
        <v>1130869.5652173914</v>
      </c>
      <c r="L17" s="415">
        <v>2</v>
      </c>
      <c r="M17" s="416">
        <v>45535</v>
      </c>
      <c r="N17" s="417">
        <v>21000</v>
      </c>
      <c r="O17" s="476"/>
      <c r="P17" s="477"/>
    </row>
    <row r="18" spans="1:122" s="404" customFormat="1" ht="18" thickBot="1">
      <c r="A18" s="418" t="s">
        <v>364</v>
      </c>
      <c r="D18" s="394">
        <v>1</v>
      </c>
      <c r="E18" s="411" t="s">
        <v>365</v>
      </c>
      <c r="F18" s="406"/>
      <c r="G18" s="405" t="s">
        <v>147</v>
      </c>
      <c r="J18" s="419" t="s">
        <v>137</v>
      </c>
      <c r="K18" s="528">
        <f>XIRR($B$33:$DR$33,$B$30:$DR$30)</f>
        <v>0.20047665238380433</v>
      </c>
      <c r="L18" s="415">
        <v>3</v>
      </c>
      <c r="M18" s="416">
        <v>45626</v>
      </c>
      <c r="N18" s="417">
        <v>22000</v>
      </c>
      <c r="O18" s="476"/>
      <c r="P18" s="477"/>
    </row>
    <row r="19" spans="1:122" s="404" customFormat="1" ht="18" thickBot="1">
      <c r="A19" s="420" t="s">
        <v>148</v>
      </c>
      <c r="C19" s="406" t="s">
        <v>139</v>
      </c>
      <c r="D19" s="125">
        <v>1000000</v>
      </c>
      <c r="E19" s="411" t="s">
        <v>149</v>
      </c>
      <c r="F19" s="406"/>
      <c r="G19" s="405" t="s">
        <v>165</v>
      </c>
      <c r="J19" s="419" t="s">
        <v>137</v>
      </c>
      <c r="K19" s="528">
        <f>$K$17/$D$17/$D$19</f>
        <v>0.11308695652173914</v>
      </c>
      <c r="L19" s="421">
        <v>4</v>
      </c>
      <c r="M19" s="416">
        <v>45747</v>
      </c>
      <c r="N19" s="417">
        <v>23000</v>
      </c>
      <c r="O19" s="477"/>
      <c r="P19" s="477"/>
    </row>
    <row r="20" spans="1:122" s="404" customFormat="1" ht="18">
      <c r="E20" s="406"/>
      <c r="F20" s="406"/>
      <c r="G20" s="471" t="s">
        <v>367</v>
      </c>
      <c r="H20" s="472"/>
      <c r="I20" s="472"/>
      <c r="J20" s="473" t="s">
        <v>137</v>
      </c>
      <c r="K20" s="474">
        <f>AVERAGE($B$34:$N$34)</f>
        <v>6.9565217391304349E-2</v>
      </c>
      <c r="L20" s="478"/>
      <c r="M20" s="477"/>
      <c r="N20" s="477"/>
      <c r="O20" s="477"/>
      <c r="P20" s="476"/>
      <c r="Q20" s="422"/>
      <c r="R20" s="422"/>
      <c r="S20" s="423"/>
    </row>
    <row r="21" spans="1:122" s="404" customFormat="1" ht="17.399999999999999">
      <c r="A21" s="420" t="s">
        <v>124</v>
      </c>
      <c r="C21" s="406" t="s">
        <v>139</v>
      </c>
      <c r="D21" s="409">
        <f>VLOOKUP($D$16,$L$16:$N$19,3)</f>
        <v>23000</v>
      </c>
      <c r="E21" s="406"/>
      <c r="F21" s="406"/>
      <c r="G21" s="412" t="s">
        <v>150</v>
      </c>
      <c r="J21" s="413" t="s">
        <v>137</v>
      </c>
      <c r="K21" s="414">
        <f>(K15+K17)/D19</f>
        <v>4.6627752630576769</v>
      </c>
      <c r="L21" s="477"/>
      <c r="M21" s="477"/>
      <c r="N21" s="477"/>
      <c r="O21" s="477"/>
      <c r="P21" s="479"/>
      <c r="Q21" s="424"/>
      <c r="R21" s="425"/>
    </row>
    <row r="22" spans="1:122" s="404" customFormat="1" ht="17.399999999999999">
      <c r="A22" s="420" t="s">
        <v>151</v>
      </c>
      <c r="B22" s="420"/>
      <c r="C22" s="406" t="s">
        <v>152</v>
      </c>
      <c r="D22" s="409">
        <f>$D$19/$D$21</f>
        <v>43.478260869565219</v>
      </c>
      <c r="E22" s="406"/>
      <c r="F22" s="406"/>
      <c r="G22" s="426" t="s">
        <v>166</v>
      </c>
      <c r="J22" s="427" t="s">
        <v>139</v>
      </c>
      <c r="K22" s="428">
        <f>K15+K17</f>
        <v>4662775.2630576771</v>
      </c>
      <c r="L22" s="477"/>
      <c r="M22" s="477"/>
      <c r="N22" s="477"/>
      <c r="O22" s="477"/>
      <c r="P22" s="479"/>
    </row>
    <row r="23" spans="1:122" s="404" customFormat="1" ht="18" thickBot="1">
      <c r="A23" s="429" t="s">
        <v>153</v>
      </c>
      <c r="B23" s="429"/>
      <c r="C23" s="430" t="s">
        <v>137</v>
      </c>
      <c r="D23" s="431">
        <f>D22/'Перекресток - Совхоз Ленина'!$C$69</f>
        <v>2.1358941279998635E-3</v>
      </c>
      <c r="E23" s="406"/>
      <c r="F23" s="406"/>
      <c r="G23" s="432" t="s">
        <v>168</v>
      </c>
      <c r="H23" s="432"/>
      <c r="I23" s="432"/>
      <c r="J23" s="433" t="s">
        <v>139</v>
      </c>
      <c r="K23" s="433">
        <f>K22-D19</f>
        <v>3662775.2630576771</v>
      </c>
      <c r="L23" s="410"/>
      <c r="M23" s="410"/>
      <c r="N23" s="403"/>
      <c r="O23" s="403"/>
      <c r="P23" s="403"/>
      <c r="R23" s="434"/>
    </row>
    <row r="24" spans="1:122" s="404" customFormat="1" ht="17.399999999999999">
      <c r="B24" s="408"/>
      <c r="C24" s="406"/>
      <c r="D24" s="406"/>
      <c r="E24" s="406"/>
      <c r="F24" s="406"/>
      <c r="G24" s="435"/>
      <c r="H24" s="435"/>
      <c r="I24" s="435"/>
      <c r="J24" s="436"/>
      <c r="K24" s="436"/>
    </row>
    <row r="25" spans="1:122" s="404" customFormat="1" ht="19.8" customHeight="1">
      <c r="B25" s="408"/>
      <c r="C25" s="406"/>
      <c r="D25" s="456">
        <v>1</v>
      </c>
      <c r="E25" s="406"/>
      <c r="F25" s="406"/>
      <c r="G25" s="435"/>
      <c r="H25" s="435"/>
      <c r="I25" s="435"/>
      <c r="J25" s="436"/>
      <c r="K25" s="521">
        <f>SUM(B32:DR32)-SUM(B40:L40)*1000</f>
        <v>0</v>
      </c>
    </row>
    <row r="26" spans="1:122" s="404" customFormat="1" ht="17.399999999999999">
      <c r="B26" s="408"/>
      <c r="C26" s="407"/>
      <c r="D26" s="456">
        <v>2</v>
      </c>
      <c r="E26" s="406"/>
      <c r="F26" s="406"/>
      <c r="G26" s="435"/>
      <c r="H26" s="435"/>
      <c r="I26" s="435"/>
      <c r="J26" s="436"/>
      <c r="K26" s="521">
        <f>SUM(C32:DR32)-K17</f>
        <v>0</v>
      </c>
    </row>
    <row r="27" spans="1:122" s="404" customFormat="1" ht="17.399999999999999">
      <c r="B27" s="408"/>
      <c r="C27" s="406"/>
      <c r="D27" s="456">
        <v>3</v>
      </c>
      <c r="E27" s="406"/>
      <c r="F27" s="406"/>
      <c r="G27" s="435"/>
      <c r="H27" s="436"/>
      <c r="I27" s="436"/>
      <c r="J27" s="436"/>
      <c r="K27" s="521">
        <f>SUM(B40:L40)*1000-K17</f>
        <v>0</v>
      </c>
    </row>
    <row r="28" spans="1:122" s="404" customFormat="1" ht="17.399999999999999" hidden="1">
      <c r="A28" s="437" t="s">
        <v>16</v>
      </c>
      <c r="B28" s="438">
        <v>0</v>
      </c>
      <c r="C28" s="438">
        <v>1</v>
      </c>
      <c r="D28" s="438">
        <v>1</v>
      </c>
      <c r="E28" s="438">
        <v>1</v>
      </c>
      <c r="F28" s="438">
        <v>1</v>
      </c>
      <c r="G28" s="438">
        <v>1</v>
      </c>
      <c r="H28" s="438">
        <v>1</v>
      </c>
      <c r="I28" s="438">
        <v>1</v>
      </c>
      <c r="J28" s="438">
        <v>1</v>
      </c>
      <c r="K28" s="438">
        <v>1</v>
      </c>
      <c r="L28" s="438">
        <v>1</v>
      </c>
      <c r="M28" s="438">
        <v>1</v>
      </c>
      <c r="N28" s="438">
        <v>1</v>
      </c>
      <c r="O28" s="438">
        <f>C28+1</f>
        <v>2</v>
      </c>
      <c r="P28" s="438">
        <f>D28+1</f>
        <v>2</v>
      </c>
      <c r="Q28" s="438">
        <f t="shared" ref="Q28:CB28" si="0">E28+1</f>
        <v>2</v>
      </c>
      <c r="R28" s="438">
        <f t="shared" si="0"/>
        <v>2</v>
      </c>
      <c r="S28" s="438">
        <f t="shared" si="0"/>
        <v>2</v>
      </c>
      <c r="T28" s="438">
        <f t="shared" si="0"/>
        <v>2</v>
      </c>
      <c r="U28" s="438">
        <f t="shared" si="0"/>
        <v>2</v>
      </c>
      <c r="V28" s="438">
        <f t="shared" si="0"/>
        <v>2</v>
      </c>
      <c r="W28" s="438">
        <f t="shared" si="0"/>
        <v>2</v>
      </c>
      <c r="X28" s="438">
        <f t="shared" si="0"/>
        <v>2</v>
      </c>
      <c r="Y28" s="438">
        <f t="shared" si="0"/>
        <v>2</v>
      </c>
      <c r="Z28" s="438">
        <f t="shared" si="0"/>
        <v>2</v>
      </c>
      <c r="AA28" s="438">
        <f t="shared" si="0"/>
        <v>3</v>
      </c>
      <c r="AB28" s="438">
        <f t="shared" si="0"/>
        <v>3</v>
      </c>
      <c r="AC28" s="438">
        <f t="shared" si="0"/>
        <v>3</v>
      </c>
      <c r="AD28" s="438">
        <f t="shared" si="0"/>
        <v>3</v>
      </c>
      <c r="AE28" s="438">
        <f t="shared" si="0"/>
        <v>3</v>
      </c>
      <c r="AF28" s="438">
        <f t="shared" si="0"/>
        <v>3</v>
      </c>
      <c r="AG28" s="438">
        <f t="shared" si="0"/>
        <v>3</v>
      </c>
      <c r="AH28" s="438">
        <f t="shared" si="0"/>
        <v>3</v>
      </c>
      <c r="AI28" s="438">
        <f t="shared" si="0"/>
        <v>3</v>
      </c>
      <c r="AJ28" s="438">
        <f t="shared" si="0"/>
        <v>3</v>
      </c>
      <c r="AK28" s="438">
        <f t="shared" si="0"/>
        <v>3</v>
      </c>
      <c r="AL28" s="438">
        <f t="shared" si="0"/>
        <v>3</v>
      </c>
      <c r="AM28" s="438">
        <f t="shared" si="0"/>
        <v>4</v>
      </c>
      <c r="AN28" s="438">
        <f t="shared" si="0"/>
        <v>4</v>
      </c>
      <c r="AO28" s="438">
        <f t="shared" si="0"/>
        <v>4</v>
      </c>
      <c r="AP28" s="438">
        <f t="shared" si="0"/>
        <v>4</v>
      </c>
      <c r="AQ28" s="438">
        <f t="shared" si="0"/>
        <v>4</v>
      </c>
      <c r="AR28" s="438">
        <f t="shared" si="0"/>
        <v>4</v>
      </c>
      <c r="AS28" s="438">
        <f t="shared" si="0"/>
        <v>4</v>
      </c>
      <c r="AT28" s="438">
        <f t="shared" si="0"/>
        <v>4</v>
      </c>
      <c r="AU28" s="438">
        <f t="shared" si="0"/>
        <v>4</v>
      </c>
      <c r="AV28" s="438">
        <f t="shared" si="0"/>
        <v>4</v>
      </c>
      <c r="AW28" s="438">
        <f t="shared" si="0"/>
        <v>4</v>
      </c>
      <c r="AX28" s="438">
        <f t="shared" si="0"/>
        <v>4</v>
      </c>
      <c r="AY28" s="438">
        <f t="shared" si="0"/>
        <v>5</v>
      </c>
      <c r="AZ28" s="438">
        <f t="shared" si="0"/>
        <v>5</v>
      </c>
      <c r="BA28" s="438">
        <f t="shared" si="0"/>
        <v>5</v>
      </c>
      <c r="BB28" s="438">
        <f t="shared" si="0"/>
        <v>5</v>
      </c>
      <c r="BC28" s="438">
        <f t="shared" si="0"/>
        <v>5</v>
      </c>
      <c r="BD28" s="438">
        <f t="shared" si="0"/>
        <v>5</v>
      </c>
      <c r="BE28" s="438">
        <f t="shared" si="0"/>
        <v>5</v>
      </c>
      <c r="BF28" s="438">
        <f t="shared" si="0"/>
        <v>5</v>
      </c>
      <c r="BG28" s="438">
        <f t="shared" si="0"/>
        <v>5</v>
      </c>
      <c r="BH28" s="438">
        <f t="shared" si="0"/>
        <v>5</v>
      </c>
      <c r="BI28" s="438">
        <f t="shared" si="0"/>
        <v>5</v>
      </c>
      <c r="BJ28" s="438">
        <f t="shared" si="0"/>
        <v>5</v>
      </c>
      <c r="BK28" s="438">
        <f t="shared" si="0"/>
        <v>6</v>
      </c>
      <c r="BL28" s="438">
        <f t="shared" si="0"/>
        <v>6</v>
      </c>
      <c r="BM28" s="438">
        <f t="shared" si="0"/>
        <v>6</v>
      </c>
      <c r="BN28" s="438">
        <f t="shared" si="0"/>
        <v>6</v>
      </c>
      <c r="BO28" s="438">
        <f t="shared" si="0"/>
        <v>6</v>
      </c>
      <c r="BP28" s="438">
        <f t="shared" si="0"/>
        <v>6</v>
      </c>
      <c r="BQ28" s="438">
        <f t="shared" si="0"/>
        <v>6</v>
      </c>
      <c r="BR28" s="438">
        <f t="shared" si="0"/>
        <v>6</v>
      </c>
      <c r="BS28" s="438">
        <f t="shared" si="0"/>
        <v>6</v>
      </c>
      <c r="BT28" s="438">
        <f t="shared" si="0"/>
        <v>6</v>
      </c>
      <c r="BU28" s="438">
        <f t="shared" si="0"/>
        <v>6</v>
      </c>
      <c r="BV28" s="438">
        <f t="shared" si="0"/>
        <v>6</v>
      </c>
      <c r="BW28" s="438">
        <f t="shared" si="0"/>
        <v>7</v>
      </c>
      <c r="BX28" s="438">
        <f t="shared" si="0"/>
        <v>7</v>
      </c>
      <c r="BY28" s="438">
        <f t="shared" si="0"/>
        <v>7</v>
      </c>
      <c r="BZ28" s="438">
        <f t="shared" si="0"/>
        <v>7</v>
      </c>
      <c r="CA28" s="438">
        <f t="shared" si="0"/>
        <v>7</v>
      </c>
      <c r="CB28" s="438">
        <f t="shared" si="0"/>
        <v>7</v>
      </c>
      <c r="CC28" s="438">
        <f t="shared" ref="CC28:DR28" si="1">BQ28+1</f>
        <v>7</v>
      </c>
      <c r="CD28" s="438">
        <f t="shared" si="1"/>
        <v>7</v>
      </c>
      <c r="CE28" s="438">
        <f t="shared" si="1"/>
        <v>7</v>
      </c>
      <c r="CF28" s="438">
        <f t="shared" si="1"/>
        <v>7</v>
      </c>
      <c r="CG28" s="438">
        <f t="shared" si="1"/>
        <v>7</v>
      </c>
      <c r="CH28" s="438">
        <f t="shared" si="1"/>
        <v>7</v>
      </c>
      <c r="CI28" s="438">
        <f t="shared" si="1"/>
        <v>8</v>
      </c>
      <c r="CJ28" s="438">
        <f t="shared" si="1"/>
        <v>8</v>
      </c>
      <c r="CK28" s="438">
        <f t="shared" si="1"/>
        <v>8</v>
      </c>
      <c r="CL28" s="438">
        <f t="shared" si="1"/>
        <v>8</v>
      </c>
      <c r="CM28" s="438">
        <f t="shared" si="1"/>
        <v>8</v>
      </c>
      <c r="CN28" s="438">
        <f t="shared" si="1"/>
        <v>8</v>
      </c>
      <c r="CO28" s="438">
        <f t="shared" si="1"/>
        <v>8</v>
      </c>
      <c r="CP28" s="438">
        <f t="shared" si="1"/>
        <v>8</v>
      </c>
      <c r="CQ28" s="438">
        <f t="shared" si="1"/>
        <v>8</v>
      </c>
      <c r="CR28" s="438">
        <f t="shared" si="1"/>
        <v>8</v>
      </c>
      <c r="CS28" s="438">
        <f t="shared" si="1"/>
        <v>8</v>
      </c>
      <c r="CT28" s="438">
        <f t="shared" si="1"/>
        <v>8</v>
      </c>
      <c r="CU28" s="438">
        <f t="shared" si="1"/>
        <v>9</v>
      </c>
      <c r="CV28" s="438">
        <f t="shared" si="1"/>
        <v>9</v>
      </c>
      <c r="CW28" s="438">
        <f t="shared" si="1"/>
        <v>9</v>
      </c>
      <c r="CX28" s="438">
        <f t="shared" si="1"/>
        <v>9</v>
      </c>
      <c r="CY28" s="438">
        <f t="shared" si="1"/>
        <v>9</v>
      </c>
      <c r="CZ28" s="438">
        <f t="shared" si="1"/>
        <v>9</v>
      </c>
      <c r="DA28" s="438">
        <f t="shared" si="1"/>
        <v>9</v>
      </c>
      <c r="DB28" s="438">
        <f t="shared" si="1"/>
        <v>9</v>
      </c>
      <c r="DC28" s="438">
        <f t="shared" si="1"/>
        <v>9</v>
      </c>
      <c r="DD28" s="438">
        <f t="shared" si="1"/>
        <v>9</v>
      </c>
      <c r="DE28" s="438">
        <f t="shared" si="1"/>
        <v>9</v>
      </c>
      <c r="DF28" s="438">
        <f t="shared" si="1"/>
        <v>9</v>
      </c>
      <c r="DG28" s="438">
        <f t="shared" si="1"/>
        <v>10</v>
      </c>
      <c r="DH28" s="438">
        <f t="shared" si="1"/>
        <v>10</v>
      </c>
      <c r="DI28" s="438">
        <f t="shared" si="1"/>
        <v>10</v>
      </c>
      <c r="DJ28" s="438">
        <f t="shared" si="1"/>
        <v>10</v>
      </c>
      <c r="DK28" s="438">
        <f t="shared" si="1"/>
        <v>10</v>
      </c>
      <c r="DL28" s="438">
        <f t="shared" si="1"/>
        <v>10</v>
      </c>
      <c r="DM28" s="438">
        <f t="shared" si="1"/>
        <v>10</v>
      </c>
      <c r="DN28" s="438">
        <f t="shared" si="1"/>
        <v>10</v>
      </c>
      <c r="DO28" s="438">
        <f t="shared" si="1"/>
        <v>10</v>
      </c>
      <c r="DP28" s="438">
        <f t="shared" si="1"/>
        <v>10</v>
      </c>
      <c r="DQ28" s="438">
        <f t="shared" si="1"/>
        <v>10</v>
      </c>
      <c r="DR28" s="438">
        <f t="shared" si="1"/>
        <v>10</v>
      </c>
    </row>
    <row r="29" spans="1:122" s="404" customFormat="1" ht="17.399999999999999" hidden="1">
      <c r="A29" s="437" t="s">
        <v>352</v>
      </c>
      <c r="B29" s="438">
        <v>0</v>
      </c>
      <c r="C29" s="439">
        <v>1</v>
      </c>
      <c r="D29" s="439">
        <f t="shared" ref="D29:BO29" si="2">C29+1</f>
        <v>2</v>
      </c>
      <c r="E29" s="439">
        <f t="shared" si="2"/>
        <v>3</v>
      </c>
      <c r="F29" s="439">
        <f t="shared" si="2"/>
        <v>4</v>
      </c>
      <c r="G29" s="439">
        <f t="shared" si="2"/>
        <v>5</v>
      </c>
      <c r="H29" s="439">
        <f>G29+1</f>
        <v>6</v>
      </c>
      <c r="I29" s="439">
        <f>H29+1</f>
        <v>7</v>
      </c>
      <c r="J29" s="439">
        <f>I29+1</f>
        <v>8</v>
      </c>
      <c r="K29" s="439">
        <f t="shared" si="2"/>
        <v>9</v>
      </c>
      <c r="L29" s="439">
        <f t="shared" si="2"/>
        <v>10</v>
      </c>
      <c r="M29" s="439">
        <f t="shared" si="2"/>
        <v>11</v>
      </c>
      <c r="N29" s="439">
        <f t="shared" si="2"/>
        <v>12</v>
      </c>
      <c r="O29" s="439">
        <f t="shared" si="2"/>
        <v>13</v>
      </c>
      <c r="P29" s="439">
        <f t="shared" si="2"/>
        <v>14</v>
      </c>
      <c r="Q29" s="439">
        <f t="shared" si="2"/>
        <v>15</v>
      </c>
      <c r="R29" s="439">
        <f t="shared" si="2"/>
        <v>16</v>
      </c>
      <c r="S29" s="439">
        <f t="shared" si="2"/>
        <v>17</v>
      </c>
      <c r="T29" s="439">
        <f t="shared" si="2"/>
        <v>18</v>
      </c>
      <c r="U29" s="439">
        <f t="shared" si="2"/>
        <v>19</v>
      </c>
      <c r="V29" s="439">
        <f t="shared" si="2"/>
        <v>20</v>
      </c>
      <c r="W29" s="439">
        <f t="shared" si="2"/>
        <v>21</v>
      </c>
      <c r="X29" s="439">
        <f t="shared" si="2"/>
        <v>22</v>
      </c>
      <c r="Y29" s="439">
        <f t="shared" si="2"/>
        <v>23</v>
      </c>
      <c r="Z29" s="439">
        <f t="shared" si="2"/>
        <v>24</v>
      </c>
      <c r="AA29" s="439">
        <f t="shared" si="2"/>
        <v>25</v>
      </c>
      <c r="AB29" s="439">
        <f t="shared" si="2"/>
        <v>26</v>
      </c>
      <c r="AC29" s="439">
        <f t="shared" si="2"/>
        <v>27</v>
      </c>
      <c r="AD29" s="439">
        <f t="shared" si="2"/>
        <v>28</v>
      </c>
      <c r="AE29" s="439">
        <f t="shared" si="2"/>
        <v>29</v>
      </c>
      <c r="AF29" s="439">
        <f t="shared" si="2"/>
        <v>30</v>
      </c>
      <c r="AG29" s="439">
        <f t="shared" si="2"/>
        <v>31</v>
      </c>
      <c r="AH29" s="439">
        <f t="shared" si="2"/>
        <v>32</v>
      </c>
      <c r="AI29" s="439">
        <f t="shared" si="2"/>
        <v>33</v>
      </c>
      <c r="AJ29" s="439">
        <f t="shared" si="2"/>
        <v>34</v>
      </c>
      <c r="AK29" s="439">
        <f t="shared" si="2"/>
        <v>35</v>
      </c>
      <c r="AL29" s="439">
        <f t="shared" si="2"/>
        <v>36</v>
      </c>
      <c r="AM29" s="439">
        <f t="shared" si="2"/>
        <v>37</v>
      </c>
      <c r="AN29" s="439">
        <f t="shared" si="2"/>
        <v>38</v>
      </c>
      <c r="AO29" s="439">
        <f t="shared" si="2"/>
        <v>39</v>
      </c>
      <c r="AP29" s="439">
        <f t="shared" si="2"/>
        <v>40</v>
      </c>
      <c r="AQ29" s="439">
        <f t="shared" si="2"/>
        <v>41</v>
      </c>
      <c r="AR29" s="439">
        <f t="shared" si="2"/>
        <v>42</v>
      </c>
      <c r="AS29" s="439">
        <f t="shared" si="2"/>
        <v>43</v>
      </c>
      <c r="AT29" s="439">
        <f t="shared" si="2"/>
        <v>44</v>
      </c>
      <c r="AU29" s="439">
        <f t="shared" si="2"/>
        <v>45</v>
      </c>
      <c r="AV29" s="439">
        <f t="shared" si="2"/>
        <v>46</v>
      </c>
      <c r="AW29" s="439">
        <f t="shared" si="2"/>
        <v>47</v>
      </c>
      <c r="AX29" s="439">
        <f t="shared" si="2"/>
        <v>48</v>
      </c>
      <c r="AY29" s="439">
        <f t="shared" si="2"/>
        <v>49</v>
      </c>
      <c r="AZ29" s="439">
        <f t="shared" si="2"/>
        <v>50</v>
      </c>
      <c r="BA29" s="439">
        <f t="shared" si="2"/>
        <v>51</v>
      </c>
      <c r="BB29" s="439">
        <f t="shared" si="2"/>
        <v>52</v>
      </c>
      <c r="BC29" s="439">
        <f t="shared" si="2"/>
        <v>53</v>
      </c>
      <c r="BD29" s="439">
        <f t="shared" si="2"/>
        <v>54</v>
      </c>
      <c r="BE29" s="439">
        <f t="shared" si="2"/>
        <v>55</v>
      </c>
      <c r="BF29" s="439">
        <f t="shared" si="2"/>
        <v>56</v>
      </c>
      <c r="BG29" s="439">
        <f t="shared" si="2"/>
        <v>57</v>
      </c>
      <c r="BH29" s="439">
        <f t="shared" si="2"/>
        <v>58</v>
      </c>
      <c r="BI29" s="439">
        <f t="shared" si="2"/>
        <v>59</v>
      </c>
      <c r="BJ29" s="439">
        <f t="shared" si="2"/>
        <v>60</v>
      </c>
      <c r="BK29" s="439">
        <f t="shared" si="2"/>
        <v>61</v>
      </c>
      <c r="BL29" s="439">
        <f t="shared" si="2"/>
        <v>62</v>
      </c>
      <c r="BM29" s="439">
        <f t="shared" si="2"/>
        <v>63</v>
      </c>
      <c r="BN29" s="439">
        <f t="shared" si="2"/>
        <v>64</v>
      </c>
      <c r="BO29" s="439">
        <f t="shared" si="2"/>
        <v>65</v>
      </c>
      <c r="BP29" s="439">
        <f t="shared" ref="BP29:DQ29" si="3">BO29+1</f>
        <v>66</v>
      </c>
      <c r="BQ29" s="439">
        <f t="shared" si="3"/>
        <v>67</v>
      </c>
      <c r="BR29" s="439">
        <f t="shared" si="3"/>
        <v>68</v>
      </c>
      <c r="BS29" s="439">
        <f t="shared" si="3"/>
        <v>69</v>
      </c>
      <c r="BT29" s="439">
        <f t="shared" si="3"/>
        <v>70</v>
      </c>
      <c r="BU29" s="439">
        <f t="shared" si="3"/>
        <v>71</v>
      </c>
      <c r="BV29" s="439">
        <f t="shared" si="3"/>
        <v>72</v>
      </c>
      <c r="BW29" s="439">
        <f t="shared" si="3"/>
        <v>73</v>
      </c>
      <c r="BX29" s="439">
        <f t="shared" si="3"/>
        <v>74</v>
      </c>
      <c r="BY29" s="439">
        <f t="shared" si="3"/>
        <v>75</v>
      </c>
      <c r="BZ29" s="439">
        <f t="shared" si="3"/>
        <v>76</v>
      </c>
      <c r="CA29" s="439">
        <f t="shared" si="3"/>
        <v>77</v>
      </c>
      <c r="CB29" s="439">
        <f t="shared" si="3"/>
        <v>78</v>
      </c>
      <c r="CC29" s="439">
        <f t="shared" si="3"/>
        <v>79</v>
      </c>
      <c r="CD29" s="439">
        <f t="shared" si="3"/>
        <v>80</v>
      </c>
      <c r="CE29" s="439">
        <f t="shared" si="3"/>
        <v>81</v>
      </c>
      <c r="CF29" s="439">
        <f t="shared" si="3"/>
        <v>82</v>
      </c>
      <c r="CG29" s="439">
        <f t="shared" si="3"/>
        <v>83</v>
      </c>
      <c r="CH29" s="439">
        <f t="shared" si="3"/>
        <v>84</v>
      </c>
      <c r="CI29" s="439">
        <f t="shared" si="3"/>
        <v>85</v>
      </c>
      <c r="CJ29" s="439">
        <f t="shared" si="3"/>
        <v>86</v>
      </c>
      <c r="CK29" s="439">
        <f t="shared" si="3"/>
        <v>87</v>
      </c>
      <c r="CL29" s="439">
        <f t="shared" si="3"/>
        <v>88</v>
      </c>
      <c r="CM29" s="439">
        <f t="shared" si="3"/>
        <v>89</v>
      </c>
      <c r="CN29" s="439">
        <f t="shared" si="3"/>
        <v>90</v>
      </c>
      <c r="CO29" s="439">
        <f t="shared" si="3"/>
        <v>91</v>
      </c>
      <c r="CP29" s="439">
        <f t="shared" si="3"/>
        <v>92</v>
      </c>
      <c r="CQ29" s="439">
        <f t="shared" si="3"/>
        <v>93</v>
      </c>
      <c r="CR29" s="439">
        <f t="shared" si="3"/>
        <v>94</v>
      </c>
      <c r="CS29" s="439">
        <f t="shared" si="3"/>
        <v>95</v>
      </c>
      <c r="CT29" s="439">
        <f t="shared" si="3"/>
        <v>96</v>
      </c>
      <c r="CU29" s="439">
        <f t="shared" si="3"/>
        <v>97</v>
      </c>
      <c r="CV29" s="439">
        <f t="shared" si="3"/>
        <v>98</v>
      </c>
      <c r="CW29" s="439">
        <f t="shared" si="3"/>
        <v>99</v>
      </c>
      <c r="CX29" s="439">
        <f t="shared" si="3"/>
        <v>100</v>
      </c>
      <c r="CY29" s="439">
        <f t="shared" si="3"/>
        <v>101</v>
      </c>
      <c r="CZ29" s="439">
        <f t="shared" si="3"/>
        <v>102</v>
      </c>
      <c r="DA29" s="439">
        <f t="shared" si="3"/>
        <v>103</v>
      </c>
      <c r="DB29" s="439">
        <f t="shared" si="3"/>
        <v>104</v>
      </c>
      <c r="DC29" s="439">
        <f t="shared" si="3"/>
        <v>105</v>
      </c>
      <c r="DD29" s="439">
        <f t="shared" si="3"/>
        <v>106</v>
      </c>
      <c r="DE29" s="439">
        <f t="shared" si="3"/>
        <v>107</v>
      </c>
      <c r="DF29" s="439">
        <f t="shared" si="3"/>
        <v>108</v>
      </c>
      <c r="DG29" s="439">
        <f t="shared" si="3"/>
        <v>109</v>
      </c>
      <c r="DH29" s="439">
        <f t="shared" si="3"/>
        <v>110</v>
      </c>
      <c r="DI29" s="439">
        <f t="shared" si="3"/>
        <v>111</v>
      </c>
      <c r="DJ29" s="439">
        <f t="shared" si="3"/>
        <v>112</v>
      </c>
      <c r="DK29" s="439">
        <f t="shared" si="3"/>
        <v>113</v>
      </c>
      <c r="DL29" s="439">
        <f t="shared" si="3"/>
        <v>114</v>
      </c>
      <c r="DM29" s="439">
        <f t="shared" si="3"/>
        <v>115</v>
      </c>
      <c r="DN29" s="439">
        <f t="shared" si="3"/>
        <v>116</v>
      </c>
      <c r="DO29" s="439">
        <f t="shared" si="3"/>
        <v>117</v>
      </c>
      <c r="DP29" s="439">
        <f t="shared" si="3"/>
        <v>118</v>
      </c>
      <c r="DQ29" s="439">
        <f t="shared" si="3"/>
        <v>119</v>
      </c>
      <c r="DR29" s="439">
        <f>DQ29+1</f>
        <v>120</v>
      </c>
    </row>
    <row r="30" spans="1:122" s="404" customFormat="1" ht="17.399999999999999" hidden="1">
      <c r="A30" s="440" t="s">
        <v>350</v>
      </c>
      <c r="B30" s="441">
        <f>IF(D16=1,EOMONTH(EOMONTH(D15,0)+1,0),EOMONTH(D15,0))</f>
        <v>45747</v>
      </c>
      <c r="C30" s="441">
        <f>EOMONTH(B30,1)</f>
        <v>45777</v>
      </c>
      <c r="D30" s="441">
        <f t="shared" ref="D30" si="4">EOMONTH(C30,1)</f>
        <v>45808</v>
      </c>
      <c r="E30" s="441">
        <f t="shared" ref="E30" si="5">EOMONTH(D30,1)</f>
        <v>45838</v>
      </c>
      <c r="F30" s="441">
        <f t="shared" ref="F30" si="6">EOMONTH(E30,1)</f>
        <v>45869</v>
      </c>
      <c r="G30" s="441">
        <f t="shared" ref="G30" si="7">EOMONTH(F30,1)</f>
        <v>45900</v>
      </c>
      <c r="H30" s="441">
        <f t="shared" ref="H30" si="8">EOMONTH(G30,1)</f>
        <v>45930</v>
      </c>
      <c r="I30" s="441">
        <f t="shared" ref="I30" si="9">EOMONTH(H30,1)</f>
        <v>45961</v>
      </c>
      <c r="J30" s="441">
        <f t="shared" ref="J30" si="10">EOMONTH(I30,1)</f>
        <v>45991</v>
      </c>
      <c r="K30" s="441">
        <f t="shared" ref="K30" si="11">EOMONTH(J30,1)</f>
        <v>46022</v>
      </c>
      <c r="L30" s="441">
        <f t="shared" ref="L30" si="12">EOMONTH(K30,1)</f>
        <v>46053</v>
      </c>
      <c r="M30" s="441">
        <f t="shared" ref="M30" si="13">EOMONTH(L30,1)</f>
        <v>46081</v>
      </c>
      <c r="N30" s="441">
        <f t="shared" ref="N30" si="14">EOMONTH(M30,1)</f>
        <v>46112</v>
      </c>
      <c r="O30" s="441">
        <f t="shared" ref="O30" si="15">EOMONTH(N30,1)</f>
        <v>46142</v>
      </c>
      <c r="P30" s="441">
        <f t="shared" ref="P30" si="16">EOMONTH(O30,1)</f>
        <v>46173</v>
      </c>
      <c r="Q30" s="441">
        <f t="shared" ref="Q30" si="17">EOMONTH(P30,1)</f>
        <v>46203</v>
      </c>
      <c r="R30" s="441">
        <f t="shared" ref="R30" si="18">EOMONTH(Q30,1)</f>
        <v>46234</v>
      </c>
      <c r="S30" s="441">
        <f t="shared" ref="S30" si="19">EOMONTH(R30,1)</f>
        <v>46265</v>
      </c>
      <c r="T30" s="441">
        <f t="shared" ref="T30" si="20">EOMONTH(S30,1)</f>
        <v>46295</v>
      </c>
      <c r="U30" s="441">
        <f t="shared" ref="U30" si="21">EOMONTH(T30,1)</f>
        <v>46326</v>
      </c>
      <c r="V30" s="441">
        <f t="shared" ref="V30" si="22">EOMONTH(U30,1)</f>
        <v>46356</v>
      </c>
      <c r="W30" s="441">
        <f t="shared" ref="W30" si="23">EOMONTH(V30,1)</f>
        <v>46387</v>
      </c>
      <c r="X30" s="441">
        <f t="shared" ref="X30" si="24">EOMONTH(W30,1)</f>
        <v>46418</v>
      </c>
      <c r="Y30" s="441">
        <f t="shared" ref="Y30" si="25">EOMONTH(X30,1)</f>
        <v>46446</v>
      </c>
      <c r="Z30" s="441">
        <f t="shared" ref="Z30" si="26">EOMONTH(Y30,1)</f>
        <v>46477</v>
      </c>
      <c r="AA30" s="441">
        <f t="shared" ref="AA30" si="27">EOMONTH(Z30,1)</f>
        <v>46507</v>
      </c>
      <c r="AB30" s="441">
        <f t="shared" ref="AB30" si="28">EOMONTH(AA30,1)</f>
        <v>46538</v>
      </c>
      <c r="AC30" s="441">
        <f t="shared" ref="AC30" si="29">EOMONTH(AB30,1)</f>
        <v>46568</v>
      </c>
      <c r="AD30" s="441">
        <f t="shared" ref="AD30" si="30">EOMONTH(AC30,1)</f>
        <v>46599</v>
      </c>
      <c r="AE30" s="441">
        <f t="shared" ref="AE30" si="31">EOMONTH(AD30,1)</f>
        <v>46630</v>
      </c>
      <c r="AF30" s="441">
        <f t="shared" ref="AF30" si="32">EOMONTH(AE30,1)</f>
        <v>46660</v>
      </c>
      <c r="AG30" s="441">
        <f t="shared" ref="AG30" si="33">EOMONTH(AF30,1)</f>
        <v>46691</v>
      </c>
      <c r="AH30" s="441">
        <f t="shared" ref="AH30" si="34">EOMONTH(AG30,1)</f>
        <v>46721</v>
      </c>
      <c r="AI30" s="441">
        <f t="shared" ref="AI30" si="35">EOMONTH(AH30,1)</f>
        <v>46752</v>
      </c>
      <c r="AJ30" s="441">
        <f t="shared" ref="AJ30" si="36">EOMONTH(AI30,1)</f>
        <v>46783</v>
      </c>
      <c r="AK30" s="441">
        <f t="shared" ref="AK30" si="37">EOMONTH(AJ30,1)</f>
        <v>46812</v>
      </c>
      <c r="AL30" s="441">
        <f t="shared" ref="AL30" si="38">EOMONTH(AK30,1)</f>
        <v>46843</v>
      </c>
      <c r="AM30" s="441">
        <f t="shared" ref="AM30" si="39">EOMONTH(AL30,1)</f>
        <v>46873</v>
      </c>
      <c r="AN30" s="441">
        <f t="shared" ref="AN30" si="40">EOMONTH(AM30,1)</f>
        <v>46904</v>
      </c>
      <c r="AO30" s="441">
        <f t="shared" ref="AO30" si="41">EOMONTH(AN30,1)</f>
        <v>46934</v>
      </c>
      <c r="AP30" s="441">
        <f t="shared" ref="AP30" si="42">EOMONTH(AO30,1)</f>
        <v>46965</v>
      </c>
      <c r="AQ30" s="441">
        <f t="shared" ref="AQ30" si="43">EOMONTH(AP30,1)</f>
        <v>46996</v>
      </c>
      <c r="AR30" s="441">
        <f t="shared" ref="AR30" si="44">EOMONTH(AQ30,1)</f>
        <v>47026</v>
      </c>
      <c r="AS30" s="441">
        <f t="shared" ref="AS30" si="45">EOMONTH(AR30,1)</f>
        <v>47057</v>
      </c>
      <c r="AT30" s="441">
        <f t="shared" ref="AT30" si="46">EOMONTH(AS30,1)</f>
        <v>47087</v>
      </c>
      <c r="AU30" s="441">
        <f t="shared" ref="AU30" si="47">EOMONTH(AT30,1)</f>
        <v>47118</v>
      </c>
      <c r="AV30" s="441">
        <f t="shared" ref="AV30" si="48">EOMONTH(AU30,1)</f>
        <v>47149</v>
      </c>
      <c r="AW30" s="441">
        <f t="shared" ref="AW30" si="49">EOMONTH(AV30,1)</f>
        <v>47177</v>
      </c>
      <c r="AX30" s="441">
        <f t="shared" ref="AX30" si="50">EOMONTH(AW30,1)</f>
        <v>47208</v>
      </c>
      <c r="AY30" s="441">
        <f t="shared" ref="AY30" si="51">EOMONTH(AX30,1)</f>
        <v>47238</v>
      </c>
      <c r="AZ30" s="441">
        <f t="shared" ref="AZ30" si="52">EOMONTH(AY30,1)</f>
        <v>47269</v>
      </c>
      <c r="BA30" s="441">
        <f t="shared" ref="BA30" si="53">EOMONTH(AZ30,1)</f>
        <v>47299</v>
      </c>
      <c r="BB30" s="441">
        <f t="shared" ref="BB30" si="54">EOMONTH(BA30,1)</f>
        <v>47330</v>
      </c>
      <c r="BC30" s="441">
        <f t="shared" ref="BC30" si="55">EOMONTH(BB30,1)</f>
        <v>47361</v>
      </c>
      <c r="BD30" s="441">
        <f t="shared" ref="BD30" si="56">EOMONTH(BC30,1)</f>
        <v>47391</v>
      </c>
      <c r="BE30" s="441">
        <f t="shared" ref="BE30" si="57">EOMONTH(BD30,1)</f>
        <v>47422</v>
      </c>
      <c r="BF30" s="441">
        <f t="shared" ref="BF30" si="58">EOMONTH(BE30,1)</f>
        <v>47452</v>
      </c>
      <c r="BG30" s="441">
        <f t="shared" ref="BG30" si="59">EOMONTH(BF30,1)</f>
        <v>47483</v>
      </c>
      <c r="BH30" s="441">
        <f t="shared" ref="BH30" si="60">EOMONTH(BG30,1)</f>
        <v>47514</v>
      </c>
      <c r="BI30" s="441">
        <f t="shared" ref="BI30" si="61">EOMONTH(BH30,1)</f>
        <v>47542</v>
      </c>
      <c r="BJ30" s="441">
        <f t="shared" ref="BJ30" si="62">EOMONTH(BI30,1)</f>
        <v>47573</v>
      </c>
      <c r="BK30" s="441">
        <f t="shared" ref="BK30" si="63">EOMONTH(BJ30,1)</f>
        <v>47603</v>
      </c>
      <c r="BL30" s="441">
        <f t="shared" ref="BL30" si="64">EOMONTH(BK30,1)</f>
        <v>47634</v>
      </c>
      <c r="BM30" s="441">
        <f t="shared" ref="BM30" si="65">EOMONTH(BL30,1)</f>
        <v>47664</v>
      </c>
      <c r="BN30" s="441">
        <f t="shared" ref="BN30" si="66">EOMONTH(BM30,1)</f>
        <v>47695</v>
      </c>
      <c r="BO30" s="441">
        <f t="shared" ref="BO30" si="67">EOMONTH(BN30,1)</f>
        <v>47726</v>
      </c>
      <c r="BP30" s="441">
        <f t="shared" ref="BP30" si="68">EOMONTH(BO30,1)</f>
        <v>47756</v>
      </c>
      <c r="BQ30" s="441">
        <f t="shared" ref="BQ30" si="69">EOMONTH(BP30,1)</f>
        <v>47787</v>
      </c>
      <c r="BR30" s="441">
        <f t="shared" ref="BR30" si="70">EOMONTH(BQ30,1)</f>
        <v>47817</v>
      </c>
      <c r="BS30" s="441">
        <f t="shared" ref="BS30" si="71">EOMONTH(BR30,1)</f>
        <v>47848</v>
      </c>
      <c r="BT30" s="441">
        <f t="shared" ref="BT30" si="72">EOMONTH(BS30,1)</f>
        <v>47879</v>
      </c>
      <c r="BU30" s="441">
        <f t="shared" ref="BU30" si="73">EOMONTH(BT30,1)</f>
        <v>47907</v>
      </c>
      <c r="BV30" s="441">
        <f t="shared" ref="BV30" si="74">EOMONTH(BU30,1)</f>
        <v>47938</v>
      </c>
      <c r="BW30" s="441">
        <f t="shared" ref="BW30" si="75">EOMONTH(BV30,1)</f>
        <v>47968</v>
      </c>
      <c r="BX30" s="441">
        <f t="shared" ref="BX30" si="76">EOMONTH(BW30,1)</f>
        <v>47999</v>
      </c>
      <c r="BY30" s="441">
        <f t="shared" ref="BY30" si="77">EOMONTH(BX30,1)</f>
        <v>48029</v>
      </c>
      <c r="BZ30" s="441">
        <f t="shared" ref="BZ30" si="78">EOMONTH(BY30,1)</f>
        <v>48060</v>
      </c>
      <c r="CA30" s="441">
        <f t="shared" ref="CA30" si="79">EOMONTH(BZ30,1)</f>
        <v>48091</v>
      </c>
      <c r="CB30" s="441">
        <f t="shared" ref="CB30" si="80">EOMONTH(CA30,1)</f>
        <v>48121</v>
      </c>
      <c r="CC30" s="441">
        <f t="shared" ref="CC30" si="81">EOMONTH(CB30,1)</f>
        <v>48152</v>
      </c>
      <c r="CD30" s="441">
        <f t="shared" ref="CD30" si="82">EOMONTH(CC30,1)</f>
        <v>48182</v>
      </c>
      <c r="CE30" s="441">
        <f t="shared" ref="CE30" si="83">EOMONTH(CD30,1)</f>
        <v>48213</v>
      </c>
      <c r="CF30" s="441">
        <f t="shared" ref="CF30" si="84">EOMONTH(CE30,1)</f>
        <v>48244</v>
      </c>
      <c r="CG30" s="441">
        <f t="shared" ref="CG30" si="85">EOMONTH(CF30,1)</f>
        <v>48273</v>
      </c>
      <c r="CH30" s="441">
        <f t="shared" ref="CH30" si="86">EOMONTH(CG30,1)</f>
        <v>48304</v>
      </c>
      <c r="CI30" s="441">
        <f t="shared" ref="CI30" si="87">EOMONTH(CH30,1)</f>
        <v>48334</v>
      </c>
      <c r="CJ30" s="441">
        <f t="shared" ref="CJ30" si="88">EOMONTH(CI30,1)</f>
        <v>48365</v>
      </c>
      <c r="CK30" s="441">
        <f t="shared" ref="CK30" si="89">EOMONTH(CJ30,1)</f>
        <v>48395</v>
      </c>
      <c r="CL30" s="441">
        <f t="shared" ref="CL30" si="90">EOMONTH(CK30,1)</f>
        <v>48426</v>
      </c>
      <c r="CM30" s="441">
        <f t="shared" ref="CM30" si="91">EOMONTH(CL30,1)</f>
        <v>48457</v>
      </c>
      <c r="CN30" s="441">
        <f t="shared" ref="CN30" si="92">EOMONTH(CM30,1)</f>
        <v>48487</v>
      </c>
      <c r="CO30" s="441">
        <f t="shared" ref="CO30" si="93">EOMONTH(CN30,1)</f>
        <v>48518</v>
      </c>
      <c r="CP30" s="441">
        <f t="shared" ref="CP30" si="94">EOMONTH(CO30,1)</f>
        <v>48548</v>
      </c>
      <c r="CQ30" s="441">
        <f t="shared" ref="CQ30" si="95">EOMONTH(CP30,1)</f>
        <v>48579</v>
      </c>
      <c r="CR30" s="441">
        <f t="shared" ref="CR30" si="96">EOMONTH(CQ30,1)</f>
        <v>48610</v>
      </c>
      <c r="CS30" s="441">
        <f t="shared" ref="CS30" si="97">EOMONTH(CR30,1)</f>
        <v>48638</v>
      </c>
      <c r="CT30" s="441">
        <f t="shared" ref="CT30" si="98">EOMONTH(CS30,1)</f>
        <v>48669</v>
      </c>
      <c r="CU30" s="441">
        <f t="shared" ref="CU30" si="99">EOMONTH(CT30,1)</f>
        <v>48699</v>
      </c>
      <c r="CV30" s="441">
        <f t="shared" ref="CV30" si="100">EOMONTH(CU30,1)</f>
        <v>48730</v>
      </c>
      <c r="CW30" s="441">
        <f t="shared" ref="CW30" si="101">EOMONTH(CV30,1)</f>
        <v>48760</v>
      </c>
      <c r="CX30" s="441">
        <f t="shared" ref="CX30" si="102">EOMONTH(CW30,1)</f>
        <v>48791</v>
      </c>
      <c r="CY30" s="441">
        <f t="shared" ref="CY30" si="103">EOMONTH(CX30,1)</f>
        <v>48822</v>
      </c>
      <c r="CZ30" s="441">
        <f t="shared" ref="CZ30" si="104">EOMONTH(CY30,1)</f>
        <v>48852</v>
      </c>
      <c r="DA30" s="441">
        <f t="shared" ref="DA30" si="105">EOMONTH(CZ30,1)</f>
        <v>48883</v>
      </c>
      <c r="DB30" s="441">
        <f t="shared" ref="DB30" si="106">EOMONTH(DA30,1)</f>
        <v>48913</v>
      </c>
      <c r="DC30" s="441">
        <f t="shared" ref="DC30" si="107">EOMONTH(DB30,1)</f>
        <v>48944</v>
      </c>
      <c r="DD30" s="441">
        <f t="shared" ref="DD30" si="108">EOMONTH(DC30,1)</f>
        <v>48975</v>
      </c>
      <c r="DE30" s="441">
        <f t="shared" ref="DE30" si="109">EOMONTH(DD30,1)</f>
        <v>49003</v>
      </c>
      <c r="DF30" s="441">
        <f t="shared" ref="DF30" si="110">EOMONTH(DE30,1)</f>
        <v>49034</v>
      </c>
      <c r="DG30" s="441">
        <f t="shared" ref="DG30" si="111">EOMONTH(DF30,1)</f>
        <v>49064</v>
      </c>
      <c r="DH30" s="441">
        <f t="shared" ref="DH30" si="112">EOMONTH(DG30,1)</f>
        <v>49095</v>
      </c>
      <c r="DI30" s="441">
        <f t="shared" ref="DI30" si="113">EOMONTH(DH30,1)</f>
        <v>49125</v>
      </c>
      <c r="DJ30" s="441">
        <f t="shared" ref="DJ30" si="114">EOMONTH(DI30,1)</f>
        <v>49156</v>
      </c>
      <c r="DK30" s="441">
        <f t="shared" ref="DK30" si="115">EOMONTH(DJ30,1)</f>
        <v>49187</v>
      </c>
      <c r="DL30" s="441">
        <f t="shared" ref="DL30" si="116">EOMONTH(DK30,1)</f>
        <v>49217</v>
      </c>
      <c r="DM30" s="441">
        <f t="shared" ref="DM30" si="117">EOMONTH(DL30,1)</f>
        <v>49248</v>
      </c>
      <c r="DN30" s="441">
        <f t="shared" ref="DN30" si="118">EOMONTH(DM30,1)</f>
        <v>49278</v>
      </c>
      <c r="DO30" s="441">
        <f t="shared" ref="DO30" si="119">EOMONTH(DN30,1)</f>
        <v>49309</v>
      </c>
      <c r="DP30" s="441">
        <f t="shared" ref="DP30" si="120">EOMONTH(DO30,1)</f>
        <v>49340</v>
      </c>
      <c r="DQ30" s="441">
        <f t="shared" ref="DQ30" si="121">EOMONTH(DP30,1)</f>
        <v>49368</v>
      </c>
      <c r="DR30" s="441">
        <f t="shared" ref="DR30" si="122">EOMONTH(DQ30,1)</f>
        <v>49399</v>
      </c>
    </row>
    <row r="31" spans="1:122" s="404" customFormat="1" ht="17.399999999999999" hidden="1">
      <c r="A31" s="404" t="s">
        <v>154</v>
      </c>
      <c r="B31" s="442">
        <f>$D$19</f>
        <v>1000000</v>
      </c>
      <c r="C31" s="406">
        <f>IFERROR(HLOOKUP(C$30,'Перекресток - Совхоз Ленина'!$B$192:$BB$195,3,FALSE)*$D$22,B31) * (C$29&lt;=$D$17*12)</f>
        <v>1000000</v>
      </c>
      <c r="D31" s="406">
        <f>IFERROR(HLOOKUP(D$30,'Перекресток - Совхоз Ленина'!$B$192:$BB$195,3,FALSE)*$D$22,C31) * (D$29&lt;=$D$17*12)</f>
        <v>1000000</v>
      </c>
      <c r="E31" s="406">
        <f>IFERROR(HLOOKUP(E$30,'Перекресток - Совхоз Ленина'!$B$192:$BB$195,3,FALSE)*$D$22,D31) * (E$29&lt;=$D$17*12)</f>
        <v>1051157.1029015086</v>
      </c>
      <c r="F31" s="406">
        <f>IFERROR(HLOOKUP(F$30,'Перекресток - Совхоз Ленина'!$B$192:$BB$195,3,FALSE)*$D$22,E31) * (F$29&lt;=$D$17*12)</f>
        <v>1051157.1029015086</v>
      </c>
      <c r="G31" s="406">
        <f>IFERROR(HLOOKUP(G$30,'Перекресток - Совхоз Ленина'!$B$192:$BB$195,3,FALSE)*$D$22,F31) * (G$29&lt;=$D$17*12)</f>
        <v>1051157.1029015086</v>
      </c>
      <c r="H31" s="406">
        <f>IFERROR(HLOOKUP(H$30,'Перекресток - Совхоз Ленина'!$B$192:$BB$195,3,FALSE)*$D$22,G31) * (H$29&lt;=$D$17*12)</f>
        <v>1073566.7510227445</v>
      </c>
      <c r="I31" s="406">
        <f>IFERROR(HLOOKUP(I$30,'Перекресток - Совхоз Ленина'!$B$192:$BB$195,3,FALSE)*$D$22,H31) * (I$29&lt;=$D$17*12)</f>
        <v>1073566.7510227445</v>
      </c>
      <c r="J31" s="406">
        <f>IFERROR(HLOOKUP(J$30,'Перекресток - Совхоз Ленина'!$B$192:$BB$195,3,FALSE)*$D$22,I31) * (J$29&lt;=$D$17*12)</f>
        <v>1073566.7510227445</v>
      </c>
      <c r="K31" s="406">
        <f>IFERROR(HLOOKUP(K$30,'Перекресток - Совхоз Ленина'!$B$192:$BB$195,3,FALSE)*$D$22,J31) * (K$29&lt;=$D$17*12)</f>
        <v>1135519.4527171131</v>
      </c>
      <c r="L31" s="406">
        <f>IFERROR(HLOOKUP(L$30,'Перекресток - Совхоз Ленина'!$B$192:$BB$195,3,FALSE)*$D$22,K31) * (L$29&lt;=$D$17*12)</f>
        <v>1135519.4527171131</v>
      </c>
      <c r="M31" s="406">
        <f>IFERROR(HLOOKUP(M$30,'Перекресток - Совхоз Ленина'!$B$192:$BB$195,3,FALSE)*$D$22,L31) * (M$29&lt;=$D$17*12)</f>
        <v>1135519.4527171131</v>
      </c>
      <c r="N31" s="406">
        <f>IFERROR(HLOOKUP(N$30,'Перекресток - Совхоз Ленина'!$B$192:$BB$195,3,FALSE)*$D$22,M31) * (N$29&lt;=$D$17*12)</f>
        <v>1165605.8592964939</v>
      </c>
      <c r="O31" s="406">
        <f>IFERROR(HLOOKUP(O$30,'Перекресток - Совхоз Ленина'!$B$192:$BB$195,3,FALSE)*$D$22,N31) * (O$29&lt;=$D$17*12)</f>
        <v>1165605.8592964939</v>
      </c>
      <c r="P31" s="406">
        <f>IFERROR(HLOOKUP(P$30,'Перекресток - Совхоз Ленина'!$B$192:$BB$195,3,FALSE)*$D$22,O31) * (P$29&lt;=$D$17*12)</f>
        <v>1165605.8592964939</v>
      </c>
      <c r="Q31" s="406">
        <f>IFERROR(HLOOKUP(Q$30,'Перекресток - Совхоз Ленина'!$B$192:$BB$195,3,FALSE)*$D$22,P31) * (Q$29&lt;=$D$17*12)</f>
        <v>1196526.8429661696</v>
      </c>
      <c r="R31" s="406">
        <f>IFERROR(HLOOKUP(R$30,'Перекресток - Совхоз Ленина'!$B$192:$BB$195,3,FALSE)*$D$22,Q31) * (R$29&lt;=$D$17*12)</f>
        <v>1196526.8429661696</v>
      </c>
      <c r="S31" s="406">
        <f>IFERROR(HLOOKUP(S$30,'Перекресток - Совхоз Ленина'!$B$192:$BB$195,3,FALSE)*$D$22,R31) * (S$29&lt;=$D$17*12)</f>
        <v>1196526.8429661696</v>
      </c>
      <c r="T31" s="406">
        <f>IFERROR(HLOOKUP(T$30,'Перекресток - Совхоз Ленина'!$B$192:$BB$195,3,FALSE)*$D$22,S31) * (T$29&lt;=$D$17*12)</f>
        <v>1222567.4313495096</v>
      </c>
      <c r="U31" s="406">
        <f>IFERROR(HLOOKUP(U$30,'Перекресток - Совхоз Ленина'!$B$192:$BB$195,3,FALSE)*$D$22,T31) * (U$29&lt;=$D$17*12)</f>
        <v>1222567.4313495096</v>
      </c>
      <c r="V31" s="406">
        <f>IFERROR(HLOOKUP(V$30,'Перекресток - Совхоз Ленина'!$B$192:$BB$195,3,FALSE)*$D$22,U31) * (V$29&lt;=$D$17*12)</f>
        <v>1222567.4313495096</v>
      </c>
      <c r="W31" s="406">
        <f>IFERROR(HLOOKUP(W$30,'Перекресток - Совхоз Ленина'!$B$192:$BB$195,3,FALSE)*$D$22,V31) * (W$29&lt;=$D$17*12)</f>
        <v>1259216.2820228224</v>
      </c>
      <c r="X31" s="406">
        <f>IFERROR(HLOOKUP(X$30,'Перекресток - Совхоз Ленина'!$B$192:$BB$195,3,FALSE)*$D$22,W31) * (X$29&lt;=$D$17*12)</f>
        <v>1259216.2820228224</v>
      </c>
      <c r="Y31" s="406">
        <f>IFERROR(HLOOKUP(Y$30,'Перекресток - Совхоз Ленина'!$B$192:$BB$195,3,FALSE)*$D$22,X31) * (Y$29&lt;=$D$17*12)</f>
        <v>1259216.2820228224</v>
      </c>
      <c r="Z31" s="406">
        <f>IFERROR(HLOOKUP(Z$30,'Перекресток - Совхоз Ленина'!$B$192:$BB$195,3,FALSE)*$D$22,Y31) * (Z$29&lt;=$D$17*12)</f>
        <v>1290826.8191711172</v>
      </c>
      <c r="AA31" s="406">
        <f>IFERROR(HLOOKUP(AA$30,'Перекресток - Совхоз Ленина'!$B$192:$BB$195,3,FALSE)*$D$22,Z31) * (AA$29&lt;=$D$17*12)</f>
        <v>1290826.8191711172</v>
      </c>
      <c r="AB31" s="406">
        <f>IFERROR(HLOOKUP(AB$30,'Перекресток - Совхоз Ленина'!$B$192:$BB$195,3,FALSE)*$D$22,AA31) * (AB$29&lt;=$D$17*12)</f>
        <v>1290826.8191711172</v>
      </c>
      <c r="AC31" s="406">
        <f>IFERROR(HLOOKUP(AC$30,'Перекресток - Совхоз Ленина'!$B$192:$BB$195,3,FALSE)*$D$22,AB31) * (AC$29&lt;=$D$17*12)</f>
        <v>1324194.8285213185</v>
      </c>
      <c r="AD31" s="406">
        <f>IFERROR(HLOOKUP(AD$30,'Перекресток - Совхоз Ленина'!$B$192:$BB$195,3,FALSE)*$D$22,AC31) * (AD$29&lt;=$D$17*12)</f>
        <v>1324194.8285213185</v>
      </c>
      <c r="AE31" s="406">
        <f>IFERROR(HLOOKUP(AE$30,'Перекресток - Совхоз Ленина'!$B$192:$BB$195,3,FALSE)*$D$22,AD31) * (AE$29&lt;=$D$17*12)</f>
        <v>1324194.8285213185</v>
      </c>
      <c r="AF31" s="406">
        <f>IFERROR(HLOOKUP(AF$30,'Перекресток - Совхоз Ленина'!$B$192:$BB$195,3,FALSE)*$D$22,AE31) * (AF$29&lt;=$D$17*12)</f>
        <v>1355233.1871384452</v>
      </c>
      <c r="AG31" s="406">
        <f>IFERROR(HLOOKUP(AG$30,'Перекресток - Совхоз Ленина'!$B$192:$BB$195,3,FALSE)*$D$22,AF31) * (AG$29&lt;=$D$17*12)</f>
        <v>1355233.1871384452</v>
      </c>
      <c r="AH31" s="406">
        <f>IFERROR(HLOOKUP(AH$30,'Перекресток - Совхоз Ленина'!$B$192:$BB$195,3,FALSE)*$D$22,AG31) * (AH$29&lt;=$D$17*12)</f>
        <v>1355233.1871384452</v>
      </c>
      <c r="AI31" s="406">
        <f>IFERROR(HLOOKUP(AI$30,'Перекресток - Совхоз Ленина'!$B$192:$BB$195,3,FALSE)*$D$22,AH31) * (AI$29&lt;=$D$17*12)</f>
        <v>1391825.2038743475</v>
      </c>
      <c r="AJ31" s="406">
        <f>IFERROR(HLOOKUP(AJ$30,'Перекресток - Совхоз Ленина'!$B$192:$BB$195,3,FALSE)*$D$22,AI31) * (AJ$29&lt;=$D$17*12)</f>
        <v>1391825.2038743475</v>
      </c>
      <c r="AK31" s="406">
        <f>IFERROR(HLOOKUP(AK$30,'Перекресток - Совхоз Ленина'!$B$192:$BB$195,3,FALSE)*$D$22,AJ31) * (AK$29&lt;=$D$17*12)</f>
        <v>1391825.2038743475</v>
      </c>
      <c r="AL31" s="406">
        <f>IFERROR(HLOOKUP(AL$30,'Перекресток - Совхоз Ленина'!$B$192:$BB$195,3,FALSE)*$D$22,AK31) * (AL$29&lt;=$D$17*12)</f>
        <v>1428604.9072227271</v>
      </c>
      <c r="AM31" s="406">
        <f>IFERROR(HLOOKUP(AM$30,'Перекресток - Совхоз Ленина'!$B$192:$BB$195,3,FALSE)*$D$22,AL31) * (AM$29&lt;=$D$17*12)</f>
        <v>1428604.9072227271</v>
      </c>
      <c r="AN31" s="406">
        <f>IFERROR(HLOOKUP(AN$30,'Перекресток - Совхоз Ленина'!$B$192:$BB$195,3,FALSE)*$D$22,AM31) * (AN$29&lt;=$D$17*12)</f>
        <v>1428604.9072227271</v>
      </c>
      <c r="AO31" s="406">
        <f>IFERROR(HLOOKUP(AO$30,'Перекресток - Совхоз Ленина'!$B$192:$BB$195,3,FALSE)*$D$22,AN31) * (AO$29&lt;=$D$17*12)</f>
        <v>1465461.6039570209</v>
      </c>
      <c r="AP31" s="406">
        <f>IFERROR(HLOOKUP(AP$30,'Перекресток - Совхоз Ленина'!$B$192:$BB$195,3,FALSE)*$D$22,AO31) * (AP$29&lt;=$D$17*12)</f>
        <v>1465461.6039570209</v>
      </c>
      <c r="AQ31" s="406">
        <f>IFERROR(HLOOKUP(AQ$30,'Перекресток - Совхоз Ленина'!$B$192:$BB$195,3,FALSE)*$D$22,AP31) * (AQ$29&lt;=$D$17*12)</f>
        <v>1465461.6039570209</v>
      </c>
      <c r="AR31" s="406">
        <f>IFERROR(HLOOKUP(AR$30,'Перекресток - Совхоз Ленина'!$B$192:$BB$195,3,FALSE)*$D$22,AQ31) * (AR$29&lt;=$D$17*12)</f>
        <v>1499446.4081709217</v>
      </c>
      <c r="AS31" s="406">
        <f>IFERROR(HLOOKUP(AS$30,'Перекресток - Совхоз Ленина'!$B$192:$BB$195,3,FALSE)*$D$22,AR31) * (AS$29&lt;=$D$17*12)</f>
        <v>1499446.4081709217</v>
      </c>
      <c r="AT31" s="406">
        <f>IFERROR(HLOOKUP(AT$30,'Перекресток - Совхоз Ленина'!$B$192:$BB$195,3,FALSE)*$D$22,AS31) * (AT$29&lt;=$D$17*12)</f>
        <v>1499446.4081709217</v>
      </c>
      <c r="AU31" s="406">
        <f>IFERROR(HLOOKUP(AU$30,'Перекресток - Совхоз Ленина'!$B$192:$BB$195,3,FALSE)*$D$22,AT31) * (AU$29&lt;=$D$17*12)</f>
        <v>1540031.6683168297</v>
      </c>
      <c r="AV31" s="406">
        <f>IFERROR(HLOOKUP(AV$30,'Перекресток - Совхоз Ленина'!$B$192:$BB$195,3,FALSE)*$D$22,AU31) * (AV$29&lt;=$D$17*12)</f>
        <v>1540031.6683168297</v>
      </c>
      <c r="AW31" s="406">
        <f>IFERROR(HLOOKUP(AW$30,'Перекресток - Совхоз Ленина'!$B$192:$BB$195,3,FALSE)*$D$22,AV31) * (AW$29&lt;=$D$17*12)</f>
        <v>1540031.6683168297</v>
      </c>
      <c r="AX31" s="406">
        <f>IFERROR(HLOOKUP(AX$30,'Перекресток - Совхоз Ленина'!$B$192:$BB$195,3,FALSE)*$D$22,AW31) * (AX$29&lt;=$D$17*12)</f>
        <v>1580379.5160228943</v>
      </c>
      <c r="AY31" s="406">
        <f>IFERROR(HLOOKUP(AY$30,'Перекресток - Совхоз Ленина'!$B$192:$BB$195,3,FALSE)*$D$22,AX31) * (AY$29&lt;=$D$17*12)</f>
        <v>1580379.5160228943</v>
      </c>
      <c r="AZ31" s="406">
        <f>IFERROR(HLOOKUP(AZ$30,'Перекресток - Совхоз Ленина'!$B$192:$BB$195,3,FALSE)*$D$22,AY31) * (AZ$29&lt;=$D$17*12)</f>
        <v>1580379.5160228943</v>
      </c>
      <c r="BA31" s="406">
        <f>IFERROR(HLOOKUP(BA$30,'Перекресток - Совхоз Ленина'!$B$192:$BB$195,3,FALSE)*$D$22,AZ31) * (BA$29&lt;=$D$17*12)</f>
        <v>1621303.6446761456</v>
      </c>
      <c r="BB31" s="406">
        <f>IFERROR(HLOOKUP(BB$30,'Перекресток - Совхоз Ленина'!$B$192:$BB$195,3,FALSE)*$D$22,BA31) * (BB$29&lt;=$D$17*12)</f>
        <v>1621303.6446761456</v>
      </c>
      <c r="BC31" s="406">
        <f>IFERROR(HLOOKUP(BC$30,'Перекресток - Совхоз Ленина'!$B$192:$BB$195,3,FALSE)*$D$22,BB31) * (BC$29&lt;=$D$17*12)</f>
        <v>1621303.6446761456</v>
      </c>
      <c r="BD31" s="406">
        <f>IFERROR(HLOOKUP(BD$30,'Перекресток - Совхоз Ленина'!$B$192:$BB$195,3,FALSE)*$D$22,BC31) * (BD$29&lt;=$D$17*12)</f>
        <v>1658759.1683985586</v>
      </c>
      <c r="BE31" s="406">
        <f>IFERROR(HLOOKUP(BE$30,'Перекресток - Совхоз Ленина'!$B$192:$BB$195,3,FALSE)*$D$22,BD31) * (BE$29&lt;=$D$17*12)</f>
        <v>1658759.1683985586</v>
      </c>
      <c r="BF31" s="406">
        <f>IFERROR(HLOOKUP(BF$30,'Перекресток - Совхоз Ленина'!$B$192:$BB$195,3,FALSE)*$D$22,BE31) * (BF$29&lt;=$D$17*12)</f>
        <v>1658759.1683985586</v>
      </c>
      <c r="BG31" s="406">
        <f>IFERROR(HLOOKUP(BG$30,'Перекресток - Совхоз Ленина'!$B$192:$BB$195,3,FALSE)*$D$22,BF31) * (BG$29&lt;=$D$17*12)</f>
        <v>1703434.1456349734</v>
      </c>
      <c r="BH31" s="406">
        <f>IFERROR(HLOOKUP(BH$30,'Перекресток - Совхоз Ленина'!$B$192:$BB$195,3,FALSE)*$D$22,BG31) * (BH$29&lt;=$D$17*12)</f>
        <v>1703434.1456349734</v>
      </c>
      <c r="BI31" s="406">
        <f>IFERROR(HLOOKUP(BI$30,'Перекресток - Совхоз Ленина'!$B$192:$BB$195,3,FALSE)*$D$22,BH31) * (BI$29&lt;=$D$17*12)</f>
        <v>1703434.1456349734</v>
      </c>
      <c r="BJ31" s="406">
        <f>IFERROR(HLOOKUP(BJ$30,'Перекресток - Совхоз Ленина'!$B$192:$BB$195,3,FALSE)*$D$22,BI31) * (BJ$29&lt;=$D$17*12)</f>
        <v>1747752.9762746342</v>
      </c>
      <c r="BK31" s="406">
        <f>IFERROR(HLOOKUP(BK$30,'Перекресток - Совхоз Ленина'!$B$192:$BB$195,3,FALSE)*$D$22,BJ31) * (BK$29&lt;=$D$17*12)</f>
        <v>1747752.9762746342</v>
      </c>
      <c r="BL31" s="406">
        <f>IFERROR(HLOOKUP(BL$30,'Перекресток - Совхоз Ленина'!$B$192:$BB$195,3,FALSE)*$D$22,BK31) * (BL$29&lt;=$D$17*12)</f>
        <v>1747752.9762746342</v>
      </c>
      <c r="BM31" s="406">
        <f>IFERROR(HLOOKUP(BM$30,'Перекресток - Совхоз Ленина'!$B$192:$BB$195,3,FALSE)*$D$22,BL31) * (BM$29&lt;=$D$17*12)</f>
        <v>1793071.3738255382</v>
      </c>
      <c r="BN31" s="406">
        <f>IFERROR(HLOOKUP(BN$30,'Перекресток - Совхоз Ленина'!$B$192:$BB$195,3,FALSE)*$D$22,BM31) * (BN$29&lt;=$D$17*12)</f>
        <v>1793071.3738255382</v>
      </c>
      <c r="BO31" s="406">
        <f>IFERROR(HLOOKUP(BO$30,'Перекресток - Совхоз Ленина'!$B$192:$BB$195,3,FALSE)*$D$22,BN31) * (BO$29&lt;=$D$17*12)</f>
        <v>1793071.3738255382</v>
      </c>
      <c r="BP31" s="406">
        <f>IFERROR(HLOOKUP(BP$30,'Перекресток - Совхоз Ленина'!$B$192:$BB$195,3,FALSE)*$D$22,BO31) * (BP$29&lt;=$D$17*12)</f>
        <v>1834351.6460704848</v>
      </c>
      <c r="BQ31" s="406">
        <f>IFERROR(HLOOKUP(BQ$30,'Перекресток - Совхоз Ленина'!$B$192:$BB$195,3,FALSE)*$D$22,BP31) * (BQ$29&lt;=$D$17*12)</f>
        <v>1834351.6460704848</v>
      </c>
      <c r="BR31" s="406">
        <f>IFERROR(HLOOKUP(BR$30,'Перекресток - Совхоз Ленина'!$B$192:$BB$195,3,FALSE)*$D$22,BQ31) * (BR$29&lt;=$D$17*12)</f>
        <v>1834351.6460704848</v>
      </c>
      <c r="BS31" s="406">
        <f>IFERROR(HLOOKUP(BS$30,'Перекресток - Совхоз Ленина'!$B$192:$BB$195,3,FALSE)*$D$22,BR31) * (BS$29&lt;=$D$17*12)</f>
        <v>1883312.0778988178</v>
      </c>
      <c r="BT31" s="406">
        <f>IFERROR(HLOOKUP(BT$30,'Перекресток - Совхоз Ленина'!$B$192:$BB$195,3,FALSE)*$D$22,BS31) * (BT$29&lt;=$D$17*12)</f>
        <v>1883312.0778988178</v>
      </c>
      <c r="BU31" s="406">
        <f>IFERROR(HLOOKUP(BU$30,'Перекресток - Совхоз Ленина'!$B$192:$BB$195,3,FALSE)*$D$22,BT31) * (BU$29&lt;=$D$17*12)</f>
        <v>1883312.0778988178</v>
      </c>
      <c r="BV31" s="406">
        <f>IFERROR(HLOOKUP(BV$30,'Перекресток - Совхоз Ленина'!$B$192:$BB$195,3,FALSE)*$D$22,BU31) * (BV$29&lt;=$D$17*12)</f>
        <v>1932541.9838423019</v>
      </c>
      <c r="BW31" s="406">
        <f>IFERROR(HLOOKUP(BW$30,'Перекресток - Совхоз Ленина'!$B$192:$BB$195,3,FALSE)*$D$22,BV31) * (BW$29&lt;=$D$17*12)</f>
        <v>1932541.9838423019</v>
      </c>
      <c r="BX31" s="406">
        <f>IFERROR(HLOOKUP(BX$30,'Перекресток - Совхоз Ленина'!$B$192:$BB$195,3,FALSE)*$D$22,BW31) * (BX$29&lt;=$D$17*12)</f>
        <v>1932541.9838423019</v>
      </c>
      <c r="BY31" s="406">
        <f>IFERROR(HLOOKUP(BY$30,'Перекресток - Совхоз Ленина'!$B$192:$BB$195,3,FALSE)*$D$22,BX31) * (BY$29&lt;=$D$17*12)</f>
        <v>2101511.7845737934</v>
      </c>
      <c r="BZ31" s="406">
        <f>IFERROR(HLOOKUP(BZ$30,'Перекресток - Совхоз Ленина'!$B$192:$BB$195,3,FALSE)*$D$22,BY31) * (BZ$29&lt;=$D$17*12)</f>
        <v>2101511.7845737934</v>
      </c>
      <c r="CA31" s="406">
        <f>IFERROR(HLOOKUP(CA$30,'Перекресток - Совхоз Ленина'!$B$192:$BB$195,3,FALSE)*$D$22,BZ31) * (CA$29&lt;=$D$17*12)</f>
        <v>2101511.7845737934</v>
      </c>
      <c r="CB31" s="406">
        <f>IFERROR(HLOOKUP(CB$30,'Перекресток - Совхоз Ленина'!$B$192:$BB$195,3,FALSE)*$D$22,CA31) * (CB$29&lt;=$D$17*12)</f>
        <v>2257565.9378970321</v>
      </c>
      <c r="CC31" s="406">
        <f>IFERROR(HLOOKUP(CC$30,'Перекресток - Совхоз Ленина'!$B$192:$BB$195,3,FALSE)*$D$22,CB31) * (CC$29&lt;=$D$17*12)</f>
        <v>2257565.9378970321</v>
      </c>
      <c r="CD31" s="406">
        <f>IFERROR(HLOOKUP(CD$30,'Перекресток - Совхоз Ленина'!$B$192:$BB$195,3,FALSE)*$D$22,CC31) * (CD$29&lt;=$D$17*12)</f>
        <v>2257565.9378970321</v>
      </c>
      <c r="CE31" s="406">
        <f>IFERROR(HLOOKUP(CE$30,'Перекресток - Совхоз Ленина'!$B$192:$BB$195,3,FALSE)*$D$22,CD31) * (CE$29&lt;=$D$17*12)</f>
        <v>2440902.9761587861</v>
      </c>
      <c r="CF31" s="406">
        <f>IFERROR(HLOOKUP(CF$30,'Перекресток - Совхоз Ленина'!$B$192:$BB$195,3,FALSE)*$D$22,CE31) * (CF$29&lt;=$D$17*12)</f>
        <v>2440902.9761587861</v>
      </c>
      <c r="CG31" s="406">
        <f>IFERROR(HLOOKUP(CG$30,'Перекресток - Совхоз Ленина'!$B$192:$BB$195,3,FALSE)*$D$22,CF31) * (CG$29&lt;=$D$17*12)</f>
        <v>2440902.9761587861</v>
      </c>
      <c r="CH31" s="406">
        <f>IFERROR(HLOOKUP(CH$30,'Перекресток - Совхоз Ленина'!$B$192:$BB$195,3,FALSE)*$D$22,CG31) * (CH$29&lt;=$D$17*12)</f>
        <v>2624714.0467518149</v>
      </c>
      <c r="CI31" s="406">
        <f>IFERROR(HLOOKUP(CI$30,'Перекресток - Совхоз Ленина'!$B$192:$BB$195,3,FALSE)*$D$22,CH31) * (CI$29&lt;=$D$17*12)</f>
        <v>2624714.0467518149</v>
      </c>
      <c r="CJ31" s="406">
        <f>IFERROR(HLOOKUP(CJ$30,'Перекресток - Совхоз Ленина'!$B$192:$BB$195,3,FALSE)*$D$22,CI31) * (CJ$29&lt;=$D$17*12)</f>
        <v>2624714.0467518149</v>
      </c>
      <c r="CK31" s="406">
        <f>IFERROR(HLOOKUP(CK$30,'Перекресток - Совхоз Ленина'!$B$192:$BB$195,3,FALSE)*$D$22,CJ31) * (CK$29&lt;=$D$17*12)</f>
        <v>2691493.2788051846</v>
      </c>
      <c r="CL31" s="406">
        <f>IFERROR(HLOOKUP(CL$30,'Перекресток - Совхоз Ленина'!$B$192:$BB$195,3,FALSE)*$D$22,CK31) * (CL$29&lt;=$D$17*12)</f>
        <v>2691493.2788051846</v>
      </c>
      <c r="CM31" s="406">
        <f>IFERROR(HLOOKUP(CM$30,'Перекресток - Совхоз Ленина'!$B$192:$BB$195,3,FALSE)*$D$22,CL31) * (CM$29&lt;=$D$17*12)</f>
        <v>2691493.2788051846</v>
      </c>
      <c r="CN31" s="406">
        <f>IFERROR(HLOOKUP(CN$30,'Перекресток - Совхоз Ленина'!$B$192:$BB$195,3,FALSE)*$D$22,CM31) * (CN$29&lt;=$D$17*12)</f>
        <v>2752878.6841838718</v>
      </c>
      <c r="CO31" s="406">
        <f>IFERROR(HLOOKUP(CO$30,'Перекресток - Совхоз Ленина'!$B$192:$BB$195,3,FALSE)*$D$22,CN31) * (CO$29&lt;=$D$17*12)</f>
        <v>2752878.6841838718</v>
      </c>
      <c r="CP31" s="406">
        <f>IFERROR(HLOOKUP(CP$30,'Перекресток - Совхоз Ленина'!$B$192:$BB$195,3,FALSE)*$D$22,CO31) * (CP$29&lt;=$D$17*12)</f>
        <v>2752878.6841838718</v>
      </c>
      <c r="CQ31" s="406">
        <f>IFERROR(HLOOKUP(CQ$30,'Перекресток - Совхоз Ленина'!$B$192:$BB$195,3,FALSE)*$D$22,CP31) * (CQ$29&lt;=$D$17*12)</f>
        <v>2825370.5550512383</v>
      </c>
      <c r="CR31" s="406">
        <f>IFERROR(HLOOKUP(CR$30,'Перекресток - Совхоз Ленина'!$B$192:$BB$195,3,FALSE)*$D$22,CQ31) * (CR$29&lt;=$D$17*12)</f>
        <v>2825370.5550512383</v>
      </c>
      <c r="CS31" s="406">
        <f>IFERROR(HLOOKUP(CS$30,'Перекресток - Совхоз Ленина'!$B$192:$BB$195,3,FALSE)*$D$22,CR31) * (CS$29&lt;=$D$17*12)</f>
        <v>2825370.5550512383</v>
      </c>
      <c r="CT31" s="406">
        <f>IFERROR(HLOOKUP(CT$30,'Перекресток - Совхоз Ленина'!$B$192:$BB$195,3,FALSE)*$D$22,CS31) * (CT$29&lt;=$D$17*12)</f>
        <v>2898207.9337021974</v>
      </c>
      <c r="CU31" s="406">
        <f>IFERROR(HLOOKUP(CU$30,'Перекресток - Совхоз Ленина'!$B$192:$BB$195,3,FALSE)*$D$22,CT31) * (CU$29&lt;=$D$17*12)</f>
        <v>2898207.9337021974</v>
      </c>
      <c r="CV31" s="406">
        <f>IFERROR(HLOOKUP(CV$30,'Перекресток - Совхоз Ленина'!$B$192:$BB$195,3,FALSE)*$D$22,CU31) * (CV$29&lt;=$D$17*12)</f>
        <v>2898207.9337021974</v>
      </c>
      <c r="CW31" s="406">
        <f>IFERROR(HLOOKUP(CW$30,'Перекресток - Совхоз Ленина'!$B$192:$BB$195,3,FALSE)*$D$22,CV31) * (CW$29&lt;=$D$17*12)</f>
        <v>2971623.9045916465</v>
      </c>
      <c r="CX31" s="406">
        <f>IFERROR(HLOOKUP(CX$30,'Перекресток - Совхоз Ленина'!$B$192:$BB$195,3,FALSE)*$D$22,CW31) * (CX$29&lt;=$D$17*12)</f>
        <v>2971623.9045916465</v>
      </c>
      <c r="CY31" s="406">
        <f>IFERROR(HLOOKUP(CY$30,'Перекресток - Совхоз Ленина'!$B$192:$BB$195,3,FALSE)*$D$22,CX31) * (CY$29&lt;=$D$17*12)</f>
        <v>2971623.9045916465</v>
      </c>
      <c r="CZ31" s="406">
        <f>IFERROR(HLOOKUP(CZ$30,'Перекресток - Совхоз Ленина'!$B$192:$BB$195,3,FALSE)*$D$22,CY31) * (CZ$29&lt;=$D$17*12)</f>
        <v>3039536.0567629714</v>
      </c>
      <c r="DA31" s="406">
        <f>IFERROR(HLOOKUP(DA$30,'Перекресток - Совхоз Ленина'!$B$192:$BB$195,3,FALSE)*$D$22,CZ31) * (DA$29&lt;=$D$17*12)</f>
        <v>3039536.0567629714</v>
      </c>
      <c r="DB31" s="406">
        <f>IFERROR(HLOOKUP(DB$30,'Перекресток - Совхоз Ленина'!$B$192:$BB$195,3,FALSE)*$D$22,DA31) * (DB$29&lt;=$D$17*12)</f>
        <v>3039536.0567629714</v>
      </c>
      <c r="DC31" s="406">
        <f>IFERROR(HLOOKUP(DC$30,'Перекресток - Совхоз Ленина'!$B$192:$BB$195,3,FALSE)*$D$22,DB31) * (DC$29&lt;=$D$17*12)</f>
        <v>3119593.4118928821</v>
      </c>
      <c r="DD31" s="406">
        <f>IFERROR(HLOOKUP(DD$30,'Перекресток - Совхоз Ленина'!$B$192:$BB$195,3,FALSE)*$D$22,DC31) * (DD$29&lt;=$D$17*12)</f>
        <v>3119593.4118928821</v>
      </c>
      <c r="DE31" s="406">
        <f>IFERROR(HLOOKUP(DE$30,'Перекресток - Совхоз Ленина'!$B$192:$BB$195,3,FALSE)*$D$22,DD31) * (DE$29&lt;=$D$17*12)</f>
        <v>3119593.4118928821</v>
      </c>
      <c r="DF31" s="406">
        <f>IFERROR(HLOOKUP(DF$30,'Перекресток - Совхоз Ленина'!$B$192:$BB$195,3,FALSE)*$D$22,DE31) * (DF$29&lt;=$D$17*12)</f>
        <v>3199583.4550543278</v>
      </c>
      <c r="DG31" s="406">
        <f>IFERROR(HLOOKUP(DG$30,'Перекресток - Совхоз Ленина'!$B$192:$BB$195,3,FALSE)*$D$22,DF31) * (DG$29&lt;=$D$17*12)</f>
        <v>3199583.4550543278</v>
      </c>
      <c r="DH31" s="406">
        <f>IFERROR(HLOOKUP(DH$30,'Перекресток - Совхоз Ленина'!$B$192:$BB$195,3,FALSE)*$D$22,DG31) * (DH$29&lt;=$D$17*12)</f>
        <v>3199583.4550543278</v>
      </c>
      <c r="DI31" s="406">
        <f>IFERROR(HLOOKUP(DI$30,'Перекресток - Совхоз Ленина'!$B$192:$BB$195,3,FALSE)*$D$22,DH31) * (DI$29&lt;=$D$17*12)</f>
        <v>3280705.7863514153</v>
      </c>
      <c r="DJ31" s="406">
        <f>IFERROR(HLOOKUP(DJ$30,'Перекресток - Совхоз Ленина'!$B$192:$BB$195,3,FALSE)*$D$22,DI31) * (DJ$29&lt;=$D$17*12)</f>
        <v>3280705.7863514153</v>
      </c>
      <c r="DK31" s="406">
        <f>IFERROR(HLOOKUP(DK$30,'Перекресток - Совхоз Ленина'!$B$192:$BB$195,3,FALSE)*$D$22,DJ31) * (DK$29&lt;=$D$17*12)</f>
        <v>3280705.7863514153</v>
      </c>
      <c r="DL31" s="406">
        <f>IFERROR(HLOOKUP(DL$30,'Перекресток - Совхоз Ленина'!$B$192:$BB$195,3,FALSE)*$D$22,DK31) * (DL$29&lt;=$D$17*12)</f>
        <v>3355246.5163442278</v>
      </c>
      <c r="DM31" s="406">
        <f>IFERROR(HLOOKUP(DM$30,'Перекресток - Совхоз Ленина'!$B$192:$BB$195,3,FALSE)*$D$22,DL31) * (DM$29&lt;=$D$17*12)</f>
        <v>3355246.5163442278</v>
      </c>
      <c r="DN31" s="406">
        <f>IFERROR(HLOOKUP(DN$30,'Перекресток - Совхоз Ленина'!$B$192:$BB$195,3,FALSE)*$D$22,DM31) * (DN$29&lt;=$D$17*12)</f>
        <v>3355246.5163442278</v>
      </c>
      <c r="DO31" s="406">
        <f>IFERROR(HLOOKUP(DO$30,'Перекресток - Совхоз Ленина'!$B$192:$BB$195,3,FALSE)*$D$22,DN31) * (DO$29&lt;=$D$17*12)</f>
        <v>3443597.5520151006</v>
      </c>
      <c r="DP31" s="406">
        <f>IFERROR(HLOOKUP(DP$30,'Перекресток - Совхоз Ленина'!$B$192:$BB$195,3,FALSE)*$D$22,DO31) * (DP$29&lt;=$D$17*12)</f>
        <v>3443597.5520151006</v>
      </c>
      <c r="DQ31" s="406">
        <f>IFERROR(HLOOKUP(DQ$30,'Перекресток - Совхоз Ленина'!$B$192:$BB$195,3,FALSE)*$D$22,DP31) * (DQ$29&lt;=$D$17*12)</f>
        <v>3443597.5520151006</v>
      </c>
      <c r="DR31" s="406">
        <f>IFERROR(HLOOKUP(DR$30,'Перекресток - Совхоз Ленина'!$B$192:$BB$195,3,FALSE)*$D$22,DQ31) * (DR$29&lt;=$D$17*12)</f>
        <v>3531905.6978402855</v>
      </c>
    </row>
    <row r="32" spans="1:122" s="404" customFormat="1" ht="17.399999999999999" hidden="1">
      <c r="A32" s="404" t="s">
        <v>29</v>
      </c>
      <c r="B32" s="442">
        <v>0</v>
      </c>
      <c r="C32" s="406">
        <f>IFERROR(HLOOKUP(C$30,'Перекресток - Совхоз Ленина'!$B$192:$BB$195,4,FALSE)*$D$22,0)* (C$29&lt;=$D$17*12)</f>
        <v>0</v>
      </c>
      <c r="D32" s="406">
        <f>IFERROR(HLOOKUP(D$30,'Перекресток - Совхоз Ленина'!$B$192:$BB$195,4,FALSE)*$D$22,0)* (D$29&lt;=$D$17*12)</f>
        <v>0</v>
      </c>
      <c r="E32" s="406">
        <f>IFERROR(HLOOKUP(E$30,'Перекресток - Совхоз Ленина'!$B$192:$BB$195,4,FALSE)*$D$22,0)* (E$29&lt;=$D$17*12)</f>
        <v>17391.304347826088</v>
      </c>
      <c r="F32" s="406">
        <f>IFERROR(HLOOKUP(F$30,'Перекресток - Совхоз Ленина'!$B$192:$BB$195,4,FALSE)*$D$22,0)* (F$29&lt;=$D$17*12)</f>
        <v>0</v>
      </c>
      <c r="G32" s="406">
        <f>IFERROR(HLOOKUP(G$30,'Перекресток - Совхоз Ленина'!$B$192:$BB$195,4,FALSE)*$D$22,0)* (G$29&lt;=$D$17*12)</f>
        <v>0</v>
      </c>
      <c r="H32" s="406">
        <f>IFERROR(HLOOKUP(H$30,'Перекресток - Совхоз Ленина'!$B$192:$BB$195,4,FALSE)*$D$22,0)* (H$29&lt;=$D$17*12)</f>
        <v>17391.304347826088</v>
      </c>
      <c r="I32" s="406">
        <f>IFERROR(HLOOKUP(I$30,'Перекресток - Совхоз Ленина'!$B$192:$BB$195,4,FALSE)*$D$22,0)* (I$29&lt;=$D$17*12)</f>
        <v>0</v>
      </c>
      <c r="J32" s="406">
        <f>IFERROR(HLOOKUP(J$30,'Перекресток - Совхоз Ленина'!$B$192:$BB$195,4,FALSE)*$D$22,0)* (J$29&lt;=$D$17*12)</f>
        <v>0</v>
      </c>
      <c r="K32" s="406">
        <f>IFERROR(HLOOKUP(K$30,'Перекресток - Совхоз Ленина'!$B$192:$BB$195,4,FALSE)*$D$22,0)* (K$29&lt;=$D$17*12)</f>
        <v>17391.304347826088</v>
      </c>
      <c r="L32" s="406">
        <f>IFERROR(HLOOKUP(L$30,'Перекресток - Совхоз Ленина'!$B$192:$BB$195,4,FALSE)*$D$22,0)* (L$29&lt;=$D$17*12)</f>
        <v>0</v>
      </c>
      <c r="M32" s="406">
        <f>IFERROR(HLOOKUP(M$30,'Перекресток - Совхоз Ленина'!$B$192:$BB$195,4,FALSE)*$D$22,0)* (M$29&lt;=$D$17*12)</f>
        <v>0</v>
      </c>
      <c r="N32" s="406">
        <f>IFERROR(HLOOKUP(N$30,'Перекресток - Совхоз Ленина'!$B$192:$BB$195,4,FALSE)*$D$22,0)* (N$29&lt;=$D$17*12)</f>
        <v>17391.304347826088</v>
      </c>
      <c r="O32" s="406">
        <f>IFERROR(HLOOKUP(O$30,'Перекресток - Совхоз Ленина'!$B$192:$BB$195,4,FALSE)*$D$22,0)* (O$29&lt;=$D$17*12)</f>
        <v>0</v>
      </c>
      <c r="P32" s="406">
        <f>IFERROR(HLOOKUP(P$30,'Перекресток - Совхоз Ленина'!$B$192:$BB$195,4,FALSE)*$D$22,0)* (P$29&lt;=$D$17*12)</f>
        <v>0</v>
      </c>
      <c r="Q32" s="406">
        <f>IFERROR(HLOOKUP(Q$30,'Перекресток - Совхоз Ленина'!$B$192:$BB$195,4,FALSE)*$D$22,0)* (Q$29&lt;=$D$17*12)</f>
        <v>17391.304347826088</v>
      </c>
      <c r="R32" s="406">
        <f>IFERROR(HLOOKUP(R$30,'Перекресток - Совхоз Ленина'!$B$192:$BB$195,4,FALSE)*$D$22,0)* (R$29&lt;=$D$17*12)</f>
        <v>0</v>
      </c>
      <c r="S32" s="406">
        <f>IFERROR(HLOOKUP(S$30,'Перекресток - Совхоз Ленина'!$B$192:$BB$195,4,FALSE)*$D$22,0)* (S$29&lt;=$D$17*12)</f>
        <v>0</v>
      </c>
      <c r="T32" s="406">
        <f>IFERROR(HLOOKUP(T$30,'Перекресток - Совхоз Ленина'!$B$192:$BB$195,4,FALSE)*$D$22,0)* (T$29&lt;=$D$17*12)</f>
        <v>17391.304347826088</v>
      </c>
      <c r="U32" s="406">
        <f>IFERROR(HLOOKUP(U$30,'Перекресток - Совхоз Ленина'!$B$192:$BB$195,4,FALSE)*$D$22,0)* (U$29&lt;=$D$17*12)</f>
        <v>0</v>
      </c>
      <c r="V32" s="406">
        <f>IFERROR(HLOOKUP(V$30,'Перекресток - Совхоз Ленина'!$B$192:$BB$195,4,FALSE)*$D$22,0)* (V$29&lt;=$D$17*12)</f>
        <v>0</v>
      </c>
      <c r="W32" s="406">
        <f>IFERROR(HLOOKUP(W$30,'Перекресток - Совхоз Ленина'!$B$192:$BB$195,4,FALSE)*$D$22,0)* (W$29&lt;=$D$17*12)</f>
        <v>17391.304347826088</v>
      </c>
      <c r="X32" s="406">
        <f>IFERROR(HLOOKUP(X$30,'Перекресток - Совхоз Ленина'!$B$192:$BB$195,4,FALSE)*$D$22,0)* (X$29&lt;=$D$17*12)</f>
        <v>0</v>
      </c>
      <c r="Y32" s="406">
        <f>IFERROR(HLOOKUP(Y$30,'Перекресток - Совхоз Ленина'!$B$192:$BB$195,4,FALSE)*$D$22,0)* (Y$29&lt;=$D$17*12)</f>
        <v>0</v>
      </c>
      <c r="Z32" s="406">
        <f>IFERROR(HLOOKUP(Z$30,'Перекресток - Совхоз Ленина'!$B$192:$BB$195,4,FALSE)*$D$22,0)* (Z$29&lt;=$D$17*12)</f>
        <v>22173.91304347826</v>
      </c>
      <c r="AA32" s="406">
        <f>IFERROR(HLOOKUP(AA$30,'Перекресток - Совхоз Ленина'!$B$192:$BB$195,4,FALSE)*$D$22,0)* (AA$29&lt;=$D$17*12)</f>
        <v>0</v>
      </c>
      <c r="AB32" s="406">
        <f>IFERROR(HLOOKUP(AB$30,'Перекресток - Совхоз Ленина'!$B$192:$BB$195,4,FALSE)*$D$22,0)* (AB$29&lt;=$D$17*12)</f>
        <v>0</v>
      </c>
      <c r="AC32" s="406">
        <f>IFERROR(HLOOKUP(AC$30,'Перекресток - Совхоз Ленина'!$B$192:$BB$195,4,FALSE)*$D$22,0)* (AC$29&lt;=$D$17*12)</f>
        <v>21304.347826086956</v>
      </c>
      <c r="AD32" s="406">
        <f>IFERROR(HLOOKUP(AD$30,'Перекресток - Совхоз Ленина'!$B$192:$BB$195,4,FALSE)*$D$22,0)* (AD$29&lt;=$D$17*12)</f>
        <v>0</v>
      </c>
      <c r="AE32" s="406">
        <f>IFERROR(HLOOKUP(AE$30,'Перекресток - Совхоз Ленина'!$B$192:$BB$195,4,FALSE)*$D$22,0)* (AE$29&lt;=$D$17*12)</f>
        <v>0</v>
      </c>
      <c r="AF32" s="406">
        <f>IFERROR(HLOOKUP(AF$30,'Перекресток - Совхоз Ленина'!$B$192:$BB$195,4,FALSE)*$D$22,0)* (AF$29&lt;=$D$17*12)</f>
        <v>18260.869565217392</v>
      </c>
      <c r="AG32" s="406">
        <f>IFERROR(HLOOKUP(AG$30,'Перекресток - Совхоз Ленина'!$B$192:$BB$195,4,FALSE)*$D$22,0)* (AG$29&lt;=$D$17*12)</f>
        <v>0</v>
      </c>
      <c r="AH32" s="406">
        <f>IFERROR(HLOOKUP(AH$30,'Перекресток - Совхоз Ленина'!$B$192:$BB$195,4,FALSE)*$D$22,0)* (AH$29&lt;=$D$17*12)</f>
        <v>0</v>
      </c>
      <c r="AI32" s="406">
        <f>IFERROR(HLOOKUP(AI$30,'Перекресток - Совхоз Ленина'!$B$192:$BB$195,4,FALSE)*$D$22,0)* (AI$29&lt;=$D$17*12)</f>
        <v>23043.478260869564</v>
      </c>
      <c r="AJ32" s="406">
        <f>IFERROR(HLOOKUP(AJ$30,'Перекресток - Совхоз Ленина'!$B$192:$BB$195,4,FALSE)*$D$22,0)* (AJ$29&lt;=$D$17*12)</f>
        <v>0</v>
      </c>
      <c r="AK32" s="406">
        <f>IFERROR(HLOOKUP(AK$30,'Перекресток - Совхоз Ленина'!$B$192:$BB$195,4,FALSE)*$D$22,0)* (AK$29&lt;=$D$17*12)</f>
        <v>0</v>
      </c>
      <c r="AL32" s="406">
        <f>IFERROR(HLOOKUP(AL$30,'Перекресток - Совхоз Ленина'!$B$192:$BB$195,4,FALSE)*$D$22,0)* (AL$29&lt;=$D$17*12)</f>
        <v>22608.695652173912</v>
      </c>
      <c r="AM32" s="406">
        <f>IFERROR(HLOOKUP(AM$30,'Перекресток - Совхоз Ленина'!$B$192:$BB$195,4,FALSE)*$D$22,0)* (AM$29&lt;=$D$17*12)</f>
        <v>0</v>
      </c>
      <c r="AN32" s="406">
        <f>IFERROR(HLOOKUP(AN$30,'Перекресток - Совхоз Ленина'!$B$192:$BB$195,4,FALSE)*$D$22,0)* (AN$29&lt;=$D$17*12)</f>
        <v>0</v>
      </c>
      <c r="AO32" s="406">
        <f>IFERROR(HLOOKUP(AO$30,'Перекресток - Совхоз Ленина'!$B$192:$BB$195,4,FALSE)*$D$22,0)* (AO$29&lt;=$D$17*12)</f>
        <v>23478.26086956522</v>
      </c>
      <c r="AP32" s="406">
        <f>IFERROR(HLOOKUP(AP$30,'Перекресток - Совхоз Ленина'!$B$192:$BB$195,4,FALSE)*$D$22,0)* (AP$29&lt;=$D$17*12)</f>
        <v>0</v>
      </c>
      <c r="AQ32" s="406">
        <f>IFERROR(HLOOKUP(AQ$30,'Перекресток - Совхоз Ленина'!$B$192:$BB$195,4,FALSE)*$D$22,0)* (AQ$29&lt;=$D$17*12)</f>
        <v>0</v>
      </c>
      <c r="AR32" s="406">
        <f>IFERROR(HLOOKUP(AR$30,'Перекресток - Совхоз Ленина'!$B$192:$BB$195,4,FALSE)*$D$22,0)* (AR$29&lt;=$D$17*12)</f>
        <v>20434.782608695652</v>
      </c>
      <c r="AS32" s="406">
        <f>IFERROR(HLOOKUP(AS$30,'Перекресток - Совхоз Ленина'!$B$192:$BB$195,4,FALSE)*$D$22,0)* (AS$29&lt;=$D$17*12)</f>
        <v>0</v>
      </c>
      <c r="AT32" s="406">
        <f>IFERROR(HLOOKUP(AT$30,'Перекресток - Совхоз Ленина'!$B$192:$BB$195,4,FALSE)*$D$22,0)* (AT$29&lt;=$D$17*12)</f>
        <v>0</v>
      </c>
      <c r="AU32" s="406">
        <f>IFERROR(HLOOKUP(AU$30,'Перекресток - Совхоз Ленина'!$B$192:$BB$195,4,FALSE)*$D$22,0)* (AU$29&lt;=$D$17*12)</f>
        <v>25217.391304347828</v>
      </c>
      <c r="AV32" s="406">
        <f>IFERROR(HLOOKUP(AV$30,'Перекресток - Совхоз Ленина'!$B$192:$BB$195,4,FALSE)*$D$22,0)* (AV$29&lt;=$D$17*12)</f>
        <v>0</v>
      </c>
      <c r="AW32" s="406">
        <f>IFERROR(HLOOKUP(AW$30,'Перекресток - Совхоз Ленина'!$B$192:$BB$195,4,FALSE)*$D$22,0)* (AW$29&lt;=$D$17*12)</f>
        <v>0</v>
      </c>
      <c r="AX32" s="406">
        <f>IFERROR(HLOOKUP(AX$30,'Перекресток - Совхоз Ленина'!$B$192:$BB$195,4,FALSE)*$D$22,0)* (AX$29&lt;=$D$17*12)</f>
        <v>25217.391304347828</v>
      </c>
      <c r="AY32" s="406">
        <f>IFERROR(HLOOKUP(AY$30,'Перекресток - Совхоз Ленина'!$B$192:$BB$195,4,FALSE)*$D$22,0)* (AY$29&lt;=$D$17*12)</f>
        <v>0</v>
      </c>
      <c r="AZ32" s="406">
        <f>IFERROR(HLOOKUP(AZ$30,'Перекресток - Совхоз Ленина'!$B$192:$BB$195,4,FALSE)*$D$22,0)* (AZ$29&lt;=$D$17*12)</f>
        <v>0</v>
      </c>
      <c r="BA32" s="406">
        <f>IFERROR(HLOOKUP(BA$30,'Перекресток - Совхоз Ленина'!$B$192:$BB$195,4,FALSE)*$D$22,0)* (BA$29&lt;=$D$17*12)</f>
        <v>25652.17391304348</v>
      </c>
      <c r="BB32" s="406">
        <f>IFERROR(HLOOKUP(BB$30,'Перекресток - Совхоз Ленина'!$B$192:$BB$195,4,FALSE)*$D$22,0)* (BB$29&lt;=$D$17*12)</f>
        <v>0</v>
      </c>
      <c r="BC32" s="406">
        <f>IFERROR(HLOOKUP(BC$30,'Перекресток - Совхоз Ленина'!$B$192:$BB$195,4,FALSE)*$D$22,0)* (BC$29&lt;=$D$17*12)</f>
        <v>0</v>
      </c>
      <c r="BD32" s="406">
        <f>IFERROR(HLOOKUP(BD$30,'Перекресток - Совхоз Ленина'!$B$192:$BB$195,4,FALSE)*$D$22,0)* (BD$29&lt;=$D$17*12)</f>
        <v>22608.695652173912</v>
      </c>
      <c r="BE32" s="406">
        <f>IFERROR(HLOOKUP(BE$30,'Перекресток - Совхоз Ленина'!$B$192:$BB$195,4,FALSE)*$D$22,0)* (BE$29&lt;=$D$17*12)</f>
        <v>0</v>
      </c>
      <c r="BF32" s="406">
        <f>IFERROR(HLOOKUP(BF$30,'Перекресток - Совхоз Ленина'!$B$192:$BB$195,4,FALSE)*$D$22,0)* (BF$29&lt;=$D$17*12)</f>
        <v>0</v>
      </c>
      <c r="BG32" s="406">
        <f>IFERROR(HLOOKUP(BG$30,'Перекресток - Совхоз Ленина'!$B$192:$BB$195,4,FALSE)*$D$22,0)* (BG$29&lt;=$D$17*12)</f>
        <v>26086.956521739132</v>
      </c>
      <c r="BH32" s="406">
        <f>IFERROR(HLOOKUP(BH$30,'Перекресток - Совхоз Ленина'!$B$192:$BB$195,4,FALSE)*$D$22,0)* (BH$29&lt;=$D$17*12)</f>
        <v>0</v>
      </c>
      <c r="BI32" s="406">
        <f>IFERROR(HLOOKUP(BI$30,'Перекресток - Совхоз Ленина'!$B$192:$BB$195,4,FALSE)*$D$22,0)* (BI$29&lt;=$D$17*12)</f>
        <v>0</v>
      </c>
      <c r="BJ32" s="406">
        <f>IFERROR(HLOOKUP(BJ$30,'Перекресток - Совхоз Ленина'!$B$192:$BB$195,4,FALSE)*$D$22,0)* (BJ$29&lt;=$D$17*12)</f>
        <v>24782.608695652176</v>
      </c>
      <c r="BK32" s="406">
        <f>IFERROR(HLOOKUP(BK$30,'Перекресток - Совхоз Ленина'!$B$192:$BB$195,4,FALSE)*$D$22,0)* (BK$29&lt;=$D$17*12)</f>
        <v>0</v>
      </c>
      <c r="BL32" s="406">
        <f>IFERROR(HLOOKUP(BL$30,'Перекресток - Совхоз Ленина'!$B$192:$BB$195,4,FALSE)*$D$22,0)* (BL$29&lt;=$D$17*12)</f>
        <v>0</v>
      </c>
      <c r="BM32" s="406">
        <f>IFERROR(HLOOKUP(BM$30,'Перекресток - Совхоз Ленина'!$B$192:$BB$195,4,FALSE)*$D$22,0)* (BM$29&lt;=$D$17*12)</f>
        <v>24782.608695652176</v>
      </c>
      <c r="BN32" s="406">
        <f>IFERROR(HLOOKUP(BN$30,'Перекресток - Совхоз Ленина'!$B$192:$BB$195,4,FALSE)*$D$22,0)* (BN$29&lt;=$D$17*12)</f>
        <v>0</v>
      </c>
      <c r="BO32" s="406">
        <f>IFERROR(HLOOKUP(BO$30,'Перекресток - Совхоз Ленина'!$B$192:$BB$195,4,FALSE)*$D$22,0)* (BO$29&lt;=$D$17*12)</f>
        <v>0</v>
      </c>
      <c r="BP32" s="406">
        <f>IFERROR(HLOOKUP(BP$30,'Перекресток - Совхоз Ленина'!$B$192:$BB$195,4,FALSE)*$D$22,0)* (BP$29&lt;=$D$17*12)</f>
        <v>22173.91304347826</v>
      </c>
      <c r="BQ32" s="406">
        <f>IFERROR(HLOOKUP(BQ$30,'Перекресток - Совхоз Ленина'!$B$192:$BB$195,4,FALSE)*$D$22,0)* (BQ$29&lt;=$D$17*12)</f>
        <v>0</v>
      </c>
      <c r="BR32" s="406">
        <f>IFERROR(HLOOKUP(BR$30,'Перекресток - Совхоз Ленина'!$B$192:$BB$195,4,FALSE)*$D$22,0)* (BR$29&lt;=$D$17*12)</f>
        <v>0</v>
      </c>
      <c r="BS32" s="406">
        <f>IFERROR(HLOOKUP(BS$30,'Перекресток - Совхоз Ленина'!$B$192:$BB$195,4,FALSE)*$D$22,0)* (BS$29&lt;=$D$17*12)</f>
        <v>27391.304347826088</v>
      </c>
      <c r="BT32" s="406">
        <f>IFERROR(HLOOKUP(BT$30,'Перекресток - Совхоз Ленина'!$B$192:$BB$195,4,FALSE)*$D$22,0)* (BT$29&lt;=$D$17*12)</f>
        <v>0</v>
      </c>
      <c r="BU32" s="406">
        <f>IFERROR(HLOOKUP(BU$30,'Перекресток - Совхоз Ленина'!$B$192:$BB$195,4,FALSE)*$D$22,0)* (BU$29&lt;=$D$17*12)</f>
        <v>0</v>
      </c>
      <c r="BV32" s="406">
        <f>IFERROR(HLOOKUP(BV$30,'Перекресток - Совхоз Ленина'!$B$192:$BB$195,4,FALSE)*$D$22,0)* (BV$29&lt;=$D$17*12)</f>
        <v>26956.521739130436</v>
      </c>
      <c r="BW32" s="406">
        <f>IFERROR(HLOOKUP(BW$30,'Перекресток - Совхоз Ленина'!$B$192:$BB$195,4,FALSE)*$D$22,0)* (BW$29&lt;=$D$17*12)</f>
        <v>0</v>
      </c>
      <c r="BX32" s="406">
        <f>IFERROR(HLOOKUP(BX$30,'Перекресток - Совхоз Ленина'!$B$192:$BB$195,4,FALSE)*$D$22,0)* (BX$29&lt;=$D$17*12)</f>
        <v>0</v>
      </c>
      <c r="BY32" s="406">
        <f>IFERROR(HLOOKUP(BY$30,'Перекресток - Совхоз Ленина'!$B$192:$BB$195,4,FALSE)*$D$22,0)* (BY$29&lt;=$D$17*12)</f>
        <v>27391.304347826088</v>
      </c>
      <c r="BZ32" s="406">
        <f>IFERROR(HLOOKUP(BZ$30,'Перекресток - Совхоз Ленина'!$B$192:$BB$195,4,FALSE)*$D$22,0)* (BZ$29&lt;=$D$17*12)</f>
        <v>0</v>
      </c>
      <c r="CA32" s="406">
        <f>IFERROR(HLOOKUP(CA$30,'Перекресток - Совхоз Ленина'!$B$192:$BB$195,4,FALSE)*$D$22,0)* (CA$29&lt;=$D$17*12)</f>
        <v>0</v>
      </c>
      <c r="CB32" s="406">
        <f>IFERROR(HLOOKUP(CB$30,'Перекресток - Совхоз Ленина'!$B$192:$BB$195,4,FALSE)*$D$22,0)* (CB$29&lt;=$D$17*12)</f>
        <v>23913.043478260872</v>
      </c>
      <c r="CC32" s="406">
        <f>IFERROR(HLOOKUP(CC$30,'Перекресток - Совхоз Ленина'!$B$192:$BB$195,4,FALSE)*$D$22,0)* (CC$29&lt;=$D$17*12)</f>
        <v>0</v>
      </c>
      <c r="CD32" s="406">
        <f>IFERROR(HLOOKUP(CD$30,'Перекресток - Совхоз Ленина'!$B$192:$BB$195,4,FALSE)*$D$22,0)* (CD$29&lt;=$D$17*12)</f>
        <v>0</v>
      </c>
      <c r="CE32" s="406">
        <f>IFERROR(HLOOKUP(CE$30,'Перекресток - Совхоз Ленина'!$B$192:$BB$195,4,FALSE)*$D$22,0)* (CE$29&lt;=$D$17*12)</f>
        <v>29565.217391304348</v>
      </c>
      <c r="CF32" s="406">
        <f>IFERROR(HLOOKUP(CF$30,'Перекресток - Совхоз Ленина'!$B$192:$BB$195,4,FALSE)*$D$22,0)* (CF$29&lt;=$D$17*12)</f>
        <v>0</v>
      </c>
      <c r="CG32" s="406">
        <f>IFERROR(HLOOKUP(CG$30,'Перекресток - Совхоз Ленина'!$B$192:$BB$195,4,FALSE)*$D$22,0)* (CG$29&lt;=$D$17*12)</f>
        <v>0</v>
      </c>
      <c r="CH32" s="406">
        <f>IFERROR(HLOOKUP(CH$30,'Перекресток - Совхоз Ленина'!$B$192:$BB$195,4,FALSE)*$D$22,0)* (CH$29&lt;=$D$17*12)</f>
        <v>29130.434782608696</v>
      </c>
      <c r="CI32" s="406">
        <f>IFERROR(HLOOKUP(CI$30,'Перекресток - Совхоз Ленина'!$B$192:$BB$195,4,FALSE)*$D$22,0)* (CI$29&lt;=$D$17*12)</f>
        <v>0</v>
      </c>
      <c r="CJ32" s="406">
        <f>IFERROR(HLOOKUP(CJ$30,'Перекресток - Совхоз Ленина'!$B$192:$BB$195,4,FALSE)*$D$22,0)* (CJ$29&lt;=$D$17*12)</f>
        <v>0</v>
      </c>
      <c r="CK32" s="406">
        <f>IFERROR(HLOOKUP(CK$30,'Перекресток - Совхоз Ленина'!$B$192:$BB$195,4,FALSE)*$D$22,0)* (CK$29&lt;=$D$17*12)</f>
        <v>36956.521739130432</v>
      </c>
      <c r="CL32" s="406">
        <f>IFERROR(HLOOKUP(CL$30,'Перекресток - Совхоз Ленина'!$B$192:$BB$195,4,FALSE)*$D$22,0)* (CL$29&lt;=$D$17*12)</f>
        <v>0</v>
      </c>
      <c r="CM32" s="406">
        <f>IFERROR(HLOOKUP(CM$30,'Перекресток - Совхоз Ленина'!$B$192:$BB$195,4,FALSE)*$D$22,0)* (CM$29&lt;=$D$17*12)</f>
        <v>0</v>
      </c>
      <c r="CN32" s="406">
        <f>IFERROR(HLOOKUP(CN$30,'Перекресток - Совхоз Ленина'!$B$192:$BB$195,4,FALSE)*$D$22,0)* (CN$29&lt;=$D$17*12)</f>
        <v>32608.695652173916</v>
      </c>
      <c r="CO32" s="406">
        <f>IFERROR(HLOOKUP(CO$30,'Перекресток - Совхоз Ленина'!$B$192:$BB$195,4,FALSE)*$D$22,0)* (CO$29&lt;=$D$17*12)</f>
        <v>0</v>
      </c>
      <c r="CP32" s="406">
        <f>IFERROR(HLOOKUP(CP$30,'Перекресток - Совхоз Ленина'!$B$192:$BB$195,4,FALSE)*$D$22,0)* (CP$29&lt;=$D$17*12)</f>
        <v>0</v>
      </c>
      <c r="CQ32" s="406">
        <f>IFERROR(HLOOKUP(CQ$30,'Перекресток - Совхоз Ленина'!$B$192:$BB$195,4,FALSE)*$D$22,0)* (CQ$29&lt;=$D$17*12)</f>
        <v>40434.782608695656</v>
      </c>
      <c r="CR32" s="406">
        <f>IFERROR(HLOOKUP(CR$30,'Перекресток - Совхоз Ленина'!$B$192:$BB$195,4,FALSE)*$D$22,0)* (CR$29&lt;=$D$17*12)</f>
        <v>0</v>
      </c>
      <c r="CS32" s="406">
        <f>IFERROR(HLOOKUP(CS$30,'Перекресток - Совхоз Ленина'!$B$192:$BB$195,4,FALSE)*$D$22,0)* (CS$29&lt;=$D$17*12)</f>
        <v>0</v>
      </c>
      <c r="CT32" s="406">
        <f>IFERROR(HLOOKUP(CT$30,'Перекресток - Совхоз Ленина'!$B$192:$BB$195,4,FALSE)*$D$22,0)* (CT$29&lt;=$D$17*12)</f>
        <v>40000</v>
      </c>
      <c r="CU32" s="406">
        <f>IFERROR(HLOOKUP(CU$30,'Перекресток - Совхоз Ленина'!$B$192:$BB$195,4,FALSE)*$D$22,0)* (CU$29&lt;=$D$17*12)</f>
        <v>0</v>
      </c>
      <c r="CV32" s="406">
        <f>IFERROR(HLOOKUP(CV$30,'Перекресток - Совхоз Ленина'!$B$192:$BB$195,4,FALSE)*$D$22,0)* (CV$29&lt;=$D$17*12)</f>
        <v>0</v>
      </c>
      <c r="CW32" s="406">
        <f>IFERROR(HLOOKUP(CW$30,'Перекресток - Совхоз Ленина'!$B$192:$BB$195,4,FALSE)*$D$22,0)* (CW$29&lt;=$D$17*12)</f>
        <v>40869.565217391304</v>
      </c>
      <c r="CX32" s="406">
        <f>IFERROR(HLOOKUP(CX$30,'Перекресток - Совхоз Ленина'!$B$192:$BB$195,4,FALSE)*$D$22,0)* (CX$29&lt;=$D$17*12)</f>
        <v>0</v>
      </c>
      <c r="CY32" s="406">
        <f>IFERROR(HLOOKUP(CY$30,'Перекресток - Совхоз Ленина'!$B$192:$BB$195,4,FALSE)*$D$22,0)* (CY$29&lt;=$D$17*12)</f>
        <v>0</v>
      </c>
      <c r="CZ32" s="406">
        <f>IFERROR(HLOOKUP(CZ$30,'Перекресток - Совхоз Ленина'!$B$192:$BB$195,4,FALSE)*$D$22,0)* (CZ$29&lt;=$D$17*12)</f>
        <v>35652.17391304348</v>
      </c>
      <c r="DA32" s="406">
        <f>IFERROR(HLOOKUP(DA$30,'Перекресток - Совхоз Ленина'!$B$192:$BB$195,4,FALSE)*$D$22,0)* (DA$29&lt;=$D$17*12)</f>
        <v>0</v>
      </c>
      <c r="DB32" s="406">
        <f>IFERROR(HLOOKUP(DB$30,'Перекресток - Совхоз Ленина'!$B$192:$BB$195,4,FALSE)*$D$22,0)* (DB$29&lt;=$D$17*12)</f>
        <v>0</v>
      </c>
      <c r="DC32" s="406">
        <f>IFERROR(HLOOKUP(DC$30,'Перекресток - Совхоз Ленина'!$B$192:$BB$195,4,FALSE)*$D$22,0)* (DC$29&lt;=$D$17*12)</f>
        <v>44347.82608695652</v>
      </c>
      <c r="DD32" s="406">
        <f>IFERROR(HLOOKUP(DD$30,'Перекресток - Совхоз Ленина'!$B$192:$BB$195,4,FALSE)*$D$22,0)* (DD$29&lt;=$D$17*12)</f>
        <v>0</v>
      </c>
      <c r="DE32" s="406">
        <f>IFERROR(HLOOKUP(DE$30,'Перекресток - Совхоз Ленина'!$B$192:$BB$195,4,FALSE)*$D$22,0)* (DE$29&lt;=$D$17*12)</f>
        <v>0</v>
      </c>
      <c r="DF32" s="406">
        <f>IFERROR(HLOOKUP(DF$30,'Перекресток - Совхоз Ленина'!$B$192:$BB$195,4,FALSE)*$D$22,0)* (DF$29&lt;=$D$17*12)</f>
        <v>44347.82608695652</v>
      </c>
      <c r="DG32" s="406">
        <f>IFERROR(HLOOKUP(DG$30,'Перекресток - Совхоз Ленина'!$B$192:$BB$195,4,FALSE)*$D$22,0)* (DG$29&lt;=$D$17*12)</f>
        <v>0</v>
      </c>
      <c r="DH32" s="406">
        <f>IFERROR(HLOOKUP(DH$30,'Перекресток - Совхоз Ленина'!$B$192:$BB$195,4,FALSE)*$D$22,0)* (DH$29&lt;=$D$17*12)</f>
        <v>0</v>
      </c>
      <c r="DI32" s="406">
        <f>IFERROR(HLOOKUP(DI$30,'Перекресток - Совхоз Ленина'!$B$192:$BB$195,4,FALSE)*$D$22,0)* (DI$29&lt;=$D$17*12)</f>
        <v>44782.608695652176</v>
      </c>
      <c r="DJ32" s="406">
        <f>IFERROR(HLOOKUP(DJ$30,'Перекресток - Совхоз Ленина'!$B$192:$BB$195,4,FALSE)*$D$22,0)* (DJ$29&lt;=$D$17*12)</f>
        <v>0</v>
      </c>
      <c r="DK32" s="406">
        <f>IFERROR(HLOOKUP(DK$30,'Перекресток - Совхоз Ленина'!$B$192:$BB$195,4,FALSE)*$D$22,0)* (DK$29&lt;=$D$17*12)</f>
        <v>0</v>
      </c>
      <c r="DL32" s="406">
        <f>IFERROR(HLOOKUP(DL$30,'Перекресток - Совхоз Ленина'!$B$192:$BB$195,4,FALSE)*$D$22,0)* (DL$29&lt;=$D$17*12)</f>
        <v>39565.217391304352</v>
      </c>
      <c r="DM32" s="406">
        <f>IFERROR(HLOOKUP(DM$30,'Перекресток - Совхоз Ленина'!$B$192:$BB$195,4,FALSE)*$D$22,0)* (DM$29&lt;=$D$17*12)</f>
        <v>0</v>
      </c>
      <c r="DN32" s="406">
        <f>IFERROR(HLOOKUP(DN$30,'Перекресток - Совхоз Ленина'!$B$192:$BB$195,4,FALSE)*$D$22,0)* (DN$29&lt;=$D$17*12)</f>
        <v>0</v>
      </c>
      <c r="DO32" s="406">
        <f>IFERROR(HLOOKUP(DO$30,'Перекресток - Совхоз Ленина'!$B$192:$BB$195,4,FALSE)*$D$22,0)* (DO$29&lt;=$D$17*12)</f>
        <v>48695.652173913048</v>
      </c>
      <c r="DP32" s="406">
        <f>IFERROR(HLOOKUP(DP$30,'Перекресток - Совхоз Ленина'!$B$192:$BB$195,4,FALSE)*$D$22,0)* (DP$29&lt;=$D$17*12)</f>
        <v>0</v>
      </c>
      <c r="DQ32" s="406">
        <f>IFERROR(HLOOKUP(DQ$30,'Перекресток - Совхоз Ленина'!$B$192:$BB$195,4,FALSE)*$D$22,0)* (DQ$29&lt;=$D$17*12)</f>
        <v>0</v>
      </c>
      <c r="DR32" s="406">
        <f>IFERROR(HLOOKUP(DR$30,'Перекресток - Совхоз Ленина'!$B$192:$BB$195,4,FALSE)*$D$22,0)* (DR$29&lt;=$D$17*12)</f>
        <v>48695.652173913048</v>
      </c>
    </row>
    <row r="33" spans="1:122" s="405" customFormat="1" ht="17.399999999999999" hidden="1">
      <c r="A33" s="443" t="s">
        <v>351</v>
      </c>
      <c r="B33" s="444">
        <f>-B31+B32</f>
        <v>-1000000</v>
      </c>
      <c r="C33" s="444">
        <f>IF(C29=$D$17*12,C31+C32,C32) * (C$29&lt;=$D$17*12)</f>
        <v>0</v>
      </c>
      <c r="D33" s="444">
        <f t="shared" ref="D33:BO33" si="123">IF(D29=$D$17*12,D31+D32,D32) * (D$29&lt;=$D$17*12)</f>
        <v>0</v>
      </c>
      <c r="E33" s="444">
        <f>IF(E29=$D$17*12,E31+E32,E32) * (E$29&lt;=$D$17*12)</f>
        <v>17391.304347826088</v>
      </c>
      <c r="F33" s="444">
        <f t="shared" si="123"/>
        <v>0</v>
      </c>
      <c r="G33" s="444">
        <f t="shared" si="123"/>
        <v>0</v>
      </c>
      <c r="H33" s="444">
        <f t="shared" si="123"/>
        <v>17391.304347826088</v>
      </c>
      <c r="I33" s="444">
        <f t="shared" si="123"/>
        <v>0</v>
      </c>
      <c r="J33" s="444">
        <f t="shared" si="123"/>
        <v>0</v>
      </c>
      <c r="K33" s="444">
        <f t="shared" si="123"/>
        <v>17391.304347826088</v>
      </c>
      <c r="L33" s="444">
        <f t="shared" si="123"/>
        <v>0</v>
      </c>
      <c r="M33" s="444">
        <f t="shared" si="123"/>
        <v>0</v>
      </c>
      <c r="N33" s="444">
        <f t="shared" si="123"/>
        <v>17391.304347826088</v>
      </c>
      <c r="O33" s="444">
        <f t="shared" si="123"/>
        <v>0</v>
      </c>
      <c r="P33" s="444">
        <f t="shared" si="123"/>
        <v>0</v>
      </c>
      <c r="Q33" s="444">
        <f t="shared" si="123"/>
        <v>17391.304347826088</v>
      </c>
      <c r="R33" s="444">
        <f t="shared" si="123"/>
        <v>0</v>
      </c>
      <c r="S33" s="444">
        <f t="shared" si="123"/>
        <v>0</v>
      </c>
      <c r="T33" s="444">
        <f t="shared" si="123"/>
        <v>17391.304347826088</v>
      </c>
      <c r="U33" s="444">
        <f t="shared" si="123"/>
        <v>0</v>
      </c>
      <c r="V33" s="444">
        <f t="shared" si="123"/>
        <v>0</v>
      </c>
      <c r="W33" s="444">
        <f t="shared" si="123"/>
        <v>17391.304347826088</v>
      </c>
      <c r="X33" s="444">
        <f t="shared" si="123"/>
        <v>0</v>
      </c>
      <c r="Y33" s="444">
        <f t="shared" si="123"/>
        <v>0</v>
      </c>
      <c r="Z33" s="444">
        <f t="shared" si="123"/>
        <v>22173.91304347826</v>
      </c>
      <c r="AA33" s="444">
        <f t="shared" si="123"/>
        <v>0</v>
      </c>
      <c r="AB33" s="444">
        <f t="shared" si="123"/>
        <v>0</v>
      </c>
      <c r="AC33" s="444">
        <f t="shared" si="123"/>
        <v>21304.347826086956</v>
      </c>
      <c r="AD33" s="444">
        <f t="shared" si="123"/>
        <v>0</v>
      </c>
      <c r="AE33" s="444">
        <f t="shared" si="123"/>
        <v>0</v>
      </c>
      <c r="AF33" s="444">
        <f t="shared" si="123"/>
        <v>18260.869565217392</v>
      </c>
      <c r="AG33" s="444">
        <f t="shared" si="123"/>
        <v>0</v>
      </c>
      <c r="AH33" s="444">
        <f t="shared" si="123"/>
        <v>0</v>
      </c>
      <c r="AI33" s="444">
        <f t="shared" si="123"/>
        <v>23043.478260869564</v>
      </c>
      <c r="AJ33" s="444">
        <f t="shared" si="123"/>
        <v>0</v>
      </c>
      <c r="AK33" s="444">
        <f t="shared" si="123"/>
        <v>0</v>
      </c>
      <c r="AL33" s="444">
        <f t="shared" si="123"/>
        <v>22608.695652173912</v>
      </c>
      <c r="AM33" s="444">
        <f t="shared" si="123"/>
        <v>0</v>
      </c>
      <c r="AN33" s="444">
        <f t="shared" si="123"/>
        <v>0</v>
      </c>
      <c r="AO33" s="444">
        <f t="shared" si="123"/>
        <v>23478.26086956522</v>
      </c>
      <c r="AP33" s="444">
        <f t="shared" si="123"/>
        <v>0</v>
      </c>
      <c r="AQ33" s="444">
        <f t="shared" si="123"/>
        <v>0</v>
      </c>
      <c r="AR33" s="444">
        <f t="shared" si="123"/>
        <v>20434.782608695652</v>
      </c>
      <c r="AS33" s="444">
        <f t="shared" si="123"/>
        <v>0</v>
      </c>
      <c r="AT33" s="444">
        <f t="shared" si="123"/>
        <v>0</v>
      </c>
      <c r="AU33" s="444">
        <f t="shared" si="123"/>
        <v>25217.391304347828</v>
      </c>
      <c r="AV33" s="444">
        <f t="shared" si="123"/>
        <v>0</v>
      </c>
      <c r="AW33" s="444">
        <f t="shared" si="123"/>
        <v>0</v>
      </c>
      <c r="AX33" s="444">
        <f t="shared" si="123"/>
        <v>25217.391304347828</v>
      </c>
      <c r="AY33" s="444">
        <f t="shared" si="123"/>
        <v>0</v>
      </c>
      <c r="AZ33" s="444">
        <f t="shared" si="123"/>
        <v>0</v>
      </c>
      <c r="BA33" s="444">
        <f t="shared" si="123"/>
        <v>25652.17391304348</v>
      </c>
      <c r="BB33" s="444">
        <f t="shared" si="123"/>
        <v>0</v>
      </c>
      <c r="BC33" s="444">
        <f t="shared" si="123"/>
        <v>0</v>
      </c>
      <c r="BD33" s="444">
        <f t="shared" si="123"/>
        <v>22608.695652173912</v>
      </c>
      <c r="BE33" s="444">
        <f t="shared" si="123"/>
        <v>0</v>
      </c>
      <c r="BF33" s="444">
        <f t="shared" si="123"/>
        <v>0</v>
      </c>
      <c r="BG33" s="444">
        <f t="shared" si="123"/>
        <v>26086.956521739132</v>
      </c>
      <c r="BH33" s="444">
        <f t="shared" si="123"/>
        <v>0</v>
      </c>
      <c r="BI33" s="444">
        <f t="shared" si="123"/>
        <v>0</v>
      </c>
      <c r="BJ33" s="444">
        <f>IF(BJ29=$D$17*12,BJ31+BJ32,BJ32) * (BJ$29&lt;=$D$17*12)</f>
        <v>24782.608695652176</v>
      </c>
      <c r="BK33" s="444">
        <f t="shared" si="123"/>
        <v>0</v>
      </c>
      <c r="BL33" s="444">
        <f t="shared" si="123"/>
        <v>0</v>
      </c>
      <c r="BM33" s="444">
        <f t="shared" si="123"/>
        <v>24782.608695652176</v>
      </c>
      <c r="BN33" s="444">
        <f t="shared" si="123"/>
        <v>0</v>
      </c>
      <c r="BO33" s="444">
        <f t="shared" si="123"/>
        <v>0</v>
      </c>
      <c r="BP33" s="444">
        <f t="shared" ref="BP33:DR33" si="124">IF(BP29=$D$17*12,BP31+BP32,BP32) * (BP$29&lt;=$D$17*12)</f>
        <v>22173.91304347826</v>
      </c>
      <c r="BQ33" s="444">
        <f t="shared" si="124"/>
        <v>0</v>
      </c>
      <c r="BR33" s="444">
        <f t="shared" si="124"/>
        <v>0</v>
      </c>
      <c r="BS33" s="444">
        <f t="shared" si="124"/>
        <v>27391.304347826088</v>
      </c>
      <c r="BT33" s="444">
        <f t="shared" si="124"/>
        <v>0</v>
      </c>
      <c r="BU33" s="444">
        <f t="shared" si="124"/>
        <v>0</v>
      </c>
      <c r="BV33" s="444">
        <f t="shared" si="124"/>
        <v>26956.521739130436</v>
      </c>
      <c r="BW33" s="444">
        <f t="shared" si="124"/>
        <v>0</v>
      </c>
      <c r="BX33" s="444">
        <f t="shared" si="124"/>
        <v>0</v>
      </c>
      <c r="BY33" s="444">
        <f t="shared" si="124"/>
        <v>27391.304347826088</v>
      </c>
      <c r="BZ33" s="444">
        <f t="shared" si="124"/>
        <v>0</v>
      </c>
      <c r="CA33" s="444">
        <f t="shared" si="124"/>
        <v>0</v>
      </c>
      <c r="CB33" s="444">
        <f t="shared" si="124"/>
        <v>23913.043478260872</v>
      </c>
      <c r="CC33" s="444">
        <f t="shared" si="124"/>
        <v>0</v>
      </c>
      <c r="CD33" s="444">
        <f t="shared" si="124"/>
        <v>0</v>
      </c>
      <c r="CE33" s="444">
        <f t="shared" si="124"/>
        <v>29565.217391304348</v>
      </c>
      <c r="CF33" s="444">
        <f t="shared" si="124"/>
        <v>0</v>
      </c>
      <c r="CG33" s="444">
        <f t="shared" si="124"/>
        <v>0</v>
      </c>
      <c r="CH33" s="444">
        <f t="shared" si="124"/>
        <v>29130.434782608696</v>
      </c>
      <c r="CI33" s="444">
        <f t="shared" si="124"/>
        <v>0</v>
      </c>
      <c r="CJ33" s="444">
        <f t="shared" si="124"/>
        <v>0</v>
      </c>
      <c r="CK33" s="444">
        <f t="shared" si="124"/>
        <v>36956.521739130432</v>
      </c>
      <c r="CL33" s="444">
        <f t="shared" si="124"/>
        <v>0</v>
      </c>
      <c r="CM33" s="444">
        <f t="shared" si="124"/>
        <v>0</v>
      </c>
      <c r="CN33" s="444">
        <f t="shared" si="124"/>
        <v>32608.695652173916</v>
      </c>
      <c r="CO33" s="444">
        <f t="shared" si="124"/>
        <v>0</v>
      </c>
      <c r="CP33" s="444">
        <f t="shared" si="124"/>
        <v>0</v>
      </c>
      <c r="CQ33" s="444">
        <f t="shared" si="124"/>
        <v>40434.782608695656</v>
      </c>
      <c r="CR33" s="444">
        <f t="shared" si="124"/>
        <v>0</v>
      </c>
      <c r="CS33" s="444">
        <f t="shared" si="124"/>
        <v>0</v>
      </c>
      <c r="CT33" s="444">
        <f t="shared" si="124"/>
        <v>40000</v>
      </c>
      <c r="CU33" s="444">
        <f t="shared" si="124"/>
        <v>0</v>
      </c>
      <c r="CV33" s="444">
        <f t="shared" si="124"/>
        <v>0</v>
      </c>
      <c r="CW33" s="444">
        <f t="shared" si="124"/>
        <v>40869.565217391304</v>
      </c>
      <c r="CX33" s="444">
        <f t="shared" si="124"/>
        <v>0</v>
      </c>
      <c r="CY33" s="444">
        <f t="shared" si="124"/>
        <v>0</v>
      </c>
      <c r="CZ33" s="444">
        <f t="shared" si="124"/>
        <v>35652.17391304348</v>
      </c>
      <c r="DA33" s="444">
        <f t="shared" si="124"/>
        <v>0</v>
      </c>
      <c r="DB33" s="444">
        <f t="shared" si="124"/>
        <v>0</v>
      </c>
      <c r="DC33" s="444">
        <f t="shared" si="124"/>
        <v>44347.82608695652</v>
      </c>
      <c r="DD33" s="444">
        <f t="shared" si="124"/>
        <v>0</v>
      </c>
      <c r="DE33" s="444">
        <f t="shared" si="124"/>
        <v>0</v>
      </c>
      <c r="DF33" s="444">
        <f t="shared" si="124"/>
        <v>44347.82608695652</v>
      </c>
      <c r="DG33" s="444">
        <f t="shared" si="124"/>
        <v>0</v>
      </c>
      <c r="DH33" s="444">
        <f t="shared" si="124"/>
        <v>0</v>
      </c>
      <c r="DI33" s="444">
        <f t="shared" si="124"/>
        <v>44782.608695652176</v>
      </c>
      <c r="DJ33" s="444">
        <f t="shared" si="124"/>
        <v>0</v>
      </c>
      <c r="DK33" s="444">
        <f t="shared" si="124"/>
        <v>0</v>
      </c>
      <c r="DL33" s="444">
        <f t="shared" si="124"/>
        <v>39565.217391304352</v>
      </c>
      <c r="DM33" s="444">
        <f t="shared" si="124"/>
        <v>0</v>
      </c>
      <c r="DN33" s="444">
        <f t="shared" si="124"/>
        <v>0</v>
      </c>
      <c r="DO33" s="444">
        <f t="shared" si="124"/>
        <v>48695.652173913048</v>
      </c>
      <c r="DP33" s="444">
        <f t="shared" si="124"/>
        <v>0</v>
      </c>
      <c r="DQ33" s="444">
        <f t="shared" si="124"/>
        <v>0</v>
      </c>
      <c r="DR33" s="444">
        <f t="shared" si="124"/>
        <v>3580601.3500141986</v>
      </c>
    </row>
    <row r="34" spans="1:122" s="412" customFormat="1" ht="17.399999999999999" hidden="1">
      <c r="A34" s="412" t="s">
        <v>353</v>
      </c>
      <c r="B34" s="445"/>
      <c r="C34" s="446" t="str">
        <f>IF(C32/$B$31=0," ",C32/$B$31*4)</f>
        <v xml:space="preserve"> </v>
      </c>
      <c r="D34" s="446" t="str">
        <f t="shared" ref="D34:BO34" si="125">IF(D32/$B$31=0," ",D32/$B$31*4)</f>
        <v xml:space="preserve"> </v>
      </c>
      <c r="E34" s="446">
        <f t="shared" si="125"/>
        <v>6.9565217391304349E-2</v>
      </c>
      <c r="F34" s="446" t="str">
        <f>IF(F32/$B$31=0," ",F32/$B$31*4)</f>
        <v xml:space="preserve"> </v>
      </c>
      <c r="G34" s="446" t="str">
        <f t="shared" si="125"/>
        <v xml:space="preserve"> </v>
      </c>
      <c r="H34" s="446">
        <f>IF(H32/$B$31=0," ",H32/$B$31*4)</f>
        <v>6.9565217391304349E-2</v>
      </c>
      <c r="I34" s="446" t="str">
        <f>IF(I32/$B$31=0," ",I32/$B$31*4)</f>
        <v xml:space="preserve"> </v>
      </c>
      <c r="J34" s="446" t="str">
        <f t="shared" si="125"/>
        <v xml:space="preserve"> </v>
      </c>
      <c r="K34" s="446">
        <f t="shared" si="125"/>
        <v>6.9565217391304349E-2</v>
      </c>
      <c r="L34" s="446" t="str">
        <f>IF(L32/$B$31=0," ",L32/$B$31*4)</f>
        <v xml:space="preserve"> </v>
      </c>
      <c r="M34" s="446" t="str">
        <f t="shared" si="125"/>
        <v xml:space="preserve"> </v>
      </c>
      <c r="N34" s="446">
        <f t="shared" si="125"/>
        <v>6.9565217391304349E-2</v>
      </c>
      <c r="O34" s="446" t="str">
        <f t="shared" si="125"/>
        <v xml:space="preserve"> </v>
      </c>
      <c r="P34" s="446" t="str">
        <f t="shared" si="125"/>
        <v xml:space="preserve"> </v>
      </c>
      <c r="Q34" s="446">
        <f t="shared" si="125"/>
        <v>6.9565217391304349E-2</v>
      </c>
      <c r="R34" s="446" t="str">
        <f t="shared" si="125"/>
        <v xml:space="preserve"> </v>
      </c>
      <c r="S34" s="446" t="str">
        <f t="shared" si="125"/>
        <v xml:space="preserve"> </v>
      </c>
      <c r="T34" s="446">
        <f t="shared" si="125"/>
        <v>6.9565217391304349E-2</v>
      </c>
      <c r="U34" s="446" t="str">
        <f t="shared" si="125"/>
        <v xml:space="preserve"> </v>
      </c>
      <c r="V34" s="446" t="str">
        <f t="shared" si="125"/>
        <v xml:space="preserve"> </v>
      </c>
      <c r="W34" s="446">
        <f t="shared" si="125"/>
        <v>6.9565217391304349E-2</v>
      </c>
      <c r="X34" s="446" t="str">
        <f t="shared" si="125"/>
        <v xml:space="preserve"> </v>
      </c>
      <c r="Y34" s="446" t="str">
        <f t="shared" si="125"/>
        <v xml:space="preserve"> </v>
      </c>
      <c r="Z34" s="446">
        <f t="shared" si="125"/>
        <v>8.8695652173913037E-2</v>
      </c>
      <c r="AA34" s="446" t="str">
        <f t="shared" si="125"/>
        <v xml:space="preserve"> </v>
      </c>
      <c r="AB34" s="446" t="str">
        <f t="shared" si="125"/>
        <v xml:space="preserve"> </v>
      </c>
      <c r="AC34" s="446">
        <f t="shared" si="125"/>
        <v>8.5217391304347828E-2</v>
      </c>
      <c r="AD34" s="446" t="str">
        <f t="shared" si="125"/>
        <v xml:space="preserve"> </v>
      </c>
      <c r="AE34" s="446" t="str">
        <f t="shared" si="125"/>
        <v xml:space="preserve"> </v>
      </c>
      <c r="AF34" s="446">
        <f t="shared" si="125"/>
        <v>7.3043478260869571E-2</v>
      </c>
      <c r="AG34" s="446" t="str">
        <f t="shared" si="125"/>
        <v xml:space="preserve"> </v>
      </c>
      <c r="AH34" s="446" t="str">
        <f t="shared" si="125"/>
        <v xml:space="preserve"> </v>
      </c>
      <c r="AI34" s="446">
        <f t="shared" si="125"/>
        <v>9.2173913043478259E-2</v>
      </c>
      <c r="AJ34" s="446" t="str">
        <f t="shared" si="125"/>
        <v xml:space="preserve"> </v>
      </c>
      <c r="AK34" s="446" t="str">
        <f t="shared" si="125"/>
        <v xml:space="preserve"> </v>
      </c>
      <c r="AL34" s="446">
        <f t="shared" si="125"/>
        <v>9.0434782608695655E-2</v>
      </c>
      <c r="AM34" s="446" t="str">
        <f t="shared" si="125"/>
        <v xml:space="preserve"> </v>
      </c>
      <c r="AN34" s="446" t="str">
        <f t="shared" si="125"/>
        <v xml:space="preserve"> </v>
      </c>
      <c r="AO34" s="446">
        <f t="shared" si="125"/>
        <v>9.3913043478260877E-2</v>
      </c>
      <c r="AP34" s="446" t="str">
        <f t="shared" si="125"/>
        <v xml:space="preserve"> </v>
      </c>
      <c r="AQ34" s="446" t="str">
        <f t="shared" si="125"/>
        <v xml:space="preserve"> </v>
      </c>
      <c r="AR34" s="446">
        <f t="shared" si="125"/>
        <v>8.1739130434782606E-2</v>
      </c>
      <c r="AS34" s="446" t="str">
        <f t="shared" si="125"/>
        <v xml:space="preserve"> </v>
      </c>
      <c r="AT34" s="446" t="str">
        <f t="shared" si="125"/>
        <v xml:space="preserve"> </v>
      </c>
      <c r="AU34" s="446">
        <f t="shared" si="125"/>
        <v>0.10086956521739131</v>
      </c>
      <c r="AV34" s="446" t="str">
        <f t="shared" si="125"/>
        <v xml:space="preserve"> </v>
      </c>
      <c r="AW34" s="446" t="str">
        <f t="shared" si="125"/>
        <v xml:space="preserve"> </v>
      </c>
      <c r="AX34" s="446">
        <f t="shared" si="125"/>
        <v>0.10086956521739131</v>
      </c>
      <c r="AY34" s="446" t="str">
        <f t="shared" si="125"/>
        <v xml:space="preserve"> </v>
      </c>
      <c r="AZ34" s="446" t="str">
        <f t="shared" si="125"/>
        <v xml:space="preserve"> </v>
      </c>
      <c r="BA34" s="446">
        <f t="shared" si="125"/>
        <v>0.10260869565217393</v>
      </c>
      <c r="BB34" s="446" t="str">
        <f t="shared" si="125"/>
        <v xml:space="preserve"> </v>
      </c>
      <c r="BC34" s="446" t="str">
        <f t="shared" si="125"/>
        <v xml:space="preserve"> </v>
      </c>
      <c r="BD34" s="446">
        <f t="shared" si="125"/>
        <v>9.0434782608695655E-2</v>
      </c>
      <c r="BE34" s="446" t="str">
        <f t="shared" si="125"/>
        <v xml:space="preserve"> </v>
      </c>
      <c r="BF34" s="446" t="str">
        <f t="shared" si="125"/>
        <v xml:space="preserve"> </v>
      </c>
      <c r="BG34" s="446">
        <f t="shared" si="125"/>
        <v>0.10434782608695653</v>
      </c>
      <c r="BH34" s="446" t="str">
        <f t="shared" si="125"/>
        <v xml:space="preserve"> </v>
      </c>
      <c r="BI34" s="446" t="str">
        <f t="shared" si="125"/>
        <v xml:space="preserve"> </v>
      </c>
      <c r="BJ34" s="446">
        <f>IF(BJ32/$B$31=0," ",BJ32/$B$31*4)</f>
        <v>9.9130434782608703E-2</v>
      </c>
      <c r="BK34" s="446" t="str">
        <f t="shared" si="125"/>
        <v xml:space="preserve"> </v>
      </c>
      <c r="BL34" s="446" t="str">
        <f t="shared" si="125"/>
        <v xml:space="preserve"> </v>
      </c>
      <c r="BM34" s="446">
        <f t="shared" si="125"/>
        <v>9.9130434782608703E-2</v>
      </c>
      <c r="BN34" s="446" t="str">
        <f t="shared" si="125"/>
        <v xml:space="preserve"> </v>
      </c>
      <c r="BO34" s="446" t="str">
        <f t="shared" si="125"/>
        <v xml:space="preserve"> </v>
      </c>
      <c r="BP34" s="446">
        <f t="shared" ref="BP34:DR34" si="126">IF(BP32/$B$31=0," ",BP32/$B$31*4)</f>
        <v>8.8695652173913037E-2</v>
      </c>
      <c r="BQ34" s="446" t="str">
        <f t="shared" si="126"/>
        <v xml:space="preserve"> </v>
      </c>
      <c r="BR34" s="446" t="str">
        <f t="shared" si="126"/>
        <v xml:space="preserve"> </v>
      </c>
      <c r="BS34" s="446">
        <f t="shared" si="126"/>
        <v>0.10956521739130436</v>
      </c>
      <c r="BT34" s="446" t="str">
        <f t="shared" si="126"/>
        <v xml:space="preserve"> </v>
      </c>
      <c r="BU34" s="446" t="str">
        <f t="shared" si="126"/>
        <v xml:space="preserve"> </v>
      </c>
      <c r="BV34" s="446">
        <f t="shared" si="126"/>
        <v>0.10782608695652174</v>
      </c>
      <c r="BW34" s="446" t="str">
        <f t="shared" si="126"/>
        <v xml:space="preserve"> </v>
      </c>
      <c r="BX34" s="446" t="str">
        <f t="shared" si="126"/>
        <v xml:space="preserve"> </v>
      </c>
      <c r="BY34" s="446">
        <f t="shared" si="126"/>
        <v>0.10956521739130436</v>
      </c>
      <c r="BZ34" s="446" t="str">
        <f t="shared" si="126"/>
        <v xml:space="preserve"> </v>
      </c>
      <c r="CA34" s="446" t="str">
        <f t="shared" si="126"/>
        <v xml:space="preserve"> </v>
      </c>
      <c r="CB34" s="446">
        <f t="shared" si="126"/>
        <v>9.5652173913043481E-2</v>
      </c>
      <c r="CC34" s="446" t="str">
        <f t="shared" si="126"/>
        <v xml:space="preserve"> </v>
      </c>
      <c r="CD34" s="446" t="str">
        <f t="shared" si="126"/>
        <v xml:space="preserve"> </v>
      </c>
      <c r="CE34" s="446">
        <f t="shared" si="126"/>
        <v>0.11826086956521739</v>
      </c>
      <c r="CF34" s="446" t="str">
        <f t="shared" si="126"/>
        <v xml:space="preserve"> </v>
      </c>
      <c r="CG34" s="446" t="str">
        <f t="shared" si="126"/>
        <v xml:space="preserve"> </v>
      </c>
      <c r="CH34" s="446">
        <f t="shared" si="126"/>
        <v>0.11652173913043479</v>
      </c>
      <c r="CI34" s="446" t="str">
        <f t="shared" si="126"/>
        <v xml:space="preserve"> </v>
      </c>
      <c r="CJ34" s="446" t="str">
        <f t="shared" si="126"/>
        <v xml:space="preserve"> </v>
      </c>
      <c r="CK34" s="446">
        <f t="shared" si="126"/>
        <v>0.14782608695652172</v>
      </c>
      <c r="CL34" s="446" t="str">
        <f t="shared" si="126"/>
        <v xml:space="preserve"> </v>
      </c>
      <c r="CM34" s="446" t="str">
        <f t="shared" si="126"/>
        <v xml:space="preserve"> </v>
      </c>
      <c r="CN34" s="446">
        <f t="shared" si="126"/>
        <v>0.13043478260869568</v>
      </c>
      <c r="CO34" s="446" t="str">
        <f t="shared" si="126"/>
        <v xml:space="preserve"> </v>
      </c>
      <c r="CP34" s="446" t="str">
        <f t="shared" si="126"/>
        <v xml:space="preserve"> </v>
      </c>
      <c r="CQ34" s="446">
        <f t="shared" si="126"/>
        <v>0.16173913043478264</v>
      </c>
      <c r="CR34" s="446" t="str">
        <f t="shared" si="126"/>
        <v xml:space="preserve"> </v>
      </c>
      <c r="CS34" s="446" t="str">
        <f t="shared" si="126"/>
        <v xml:space="preserve"> </v>
      </c>
      <c r="CT34" s="446">
        <f t="shared" si="126"/>
        <v>0.16</v>
      </c>
      <c r="CU34" s="446" t="str">
        <f t="shared" si="126"/>
        <v xml:space="preserve"> </v>
      </c>
      <c r="CV34" s="446" t="str">
        <f t="shared" si="126"/>
        <v xml:space="preserve"> </v>
      </c>
      <c r="CW34" s="446">
        <f t="shared" si="126"/>
        <v>0.16347826086956521</v>
      </c>
      <c r="CX34" s="446" t="str">
        <f t="shared" si="126"/>
        <v xml:space="preserve"> </v>
      </c>
      <c r="CY34" s="446" t="str">
        <f t="shared" si="126"/>
        <v xml:space="preserve"> </v>
      </c>
      <c r="CZ34" s="446">
        <f t="shared" si="126"/>
        <v>0.14260869565217391</v>
      </c>
      <c r="DA34" s="446" t="str">
        <f t="shared" si="126"/>
        <v xml:space="preserve"> </v>
      </c>
      <c r="DB34" s="446" t="str">
        <f t="shared" si="126"/>
        <v xml:space="preserve"> </v>
      </c>
      <c r="DC34" s="446">
        <f t="shared" si="126"/>
        <v>0.17739130434782607</v>
      </c>
      <c r="DD34" s="446" t="str">
        <f t="shared" si="126"/>
        <v xml:space="preserve"> </v>
      </c>
      <c r="DE34" s="446" t="str">
        <f t="shared" si="126"/>
        <v xml:space="preserve"> </v>
      </c>
      <c r="DF34" s="446">
        <f t="shared" si="126"/>
        <v>0.17739130434782607</v>
      </c>
      <c r="DG34" s="446" t="str">
        <f t="shared" si="126"/>
        <v xml:space="preserve"> </v>
      </c>
      <c r="DH34" s="446" t="str">
        <f t="shared" si="126"/>
        <v xml:space="preserve"> </v>
      </c>
      <c r="DI34" s="446">
        <f t="shared" si="126"/>
        <v>0.17913043478260871</v>
      </c>
      <c r="DJ34" s="446" t="str">
        <f t="shared" si="126"/>
        <v xml:space="preserve"> </v>
      </c>
      <c r="DK34" s="446" t="str">
        <f t="shared" si="126"/>
        <v xml:space="preserve"> </v>
      </c>
      <c r="DL34" s="446">
        <f t="shared" si="126"/>
        <v>0.1582608695652174</v>
      </c>
      <c r="DM34" s="446" t="str">
        <f t="shared" si="126"/>
        <v xml:space="preserve"> </v>
      </c>
      <c r="DN34" s="446" t="str">
        <f t="shared" si="126"/>
        <v xml:space="preserve"> </v>
      </c>
      <c r="DO34" s="446">
        <f t="shared" si="126"/>
        <v>0.1947826086956522</v>
      </c>
      <c r="DP34" s="446" t="str">
        <f t="shared" si="126"/>
        <v xml:space="preserve"> </v>
      </c>
      <c r="DQ34" s="446" t="str">
        <f t="shared" si="126"/>
        <v xml:space="preserve"> </v>
      </c>
      <c r="DR34" s="446">
        <f t="shared" si="126"/>
        <v>0.1947826086956522</v>
      </c>
    </row>
    <row r="35" spans="1:122" s="404" customFormat="1" ht="17.399999999999999">
      <c r="B35" s="447"/>
      <c r="C35" s="447"/>
      <c r="D35" s="447"/>
      <c r="E35" s="447"/>
      <c r="F35" s="447"/>
      <c r="G35" s="447"/>
      <c r="H35" s="447"/>
      <c r="I35" s="447"/>
      <c r="J35" s="447"/>
      <c r="K35" s="447"/>
      <c r="L35" s="447"/>
      <c r="M35" s="447"/>
      <c r="N35" s="447"/>
      <c r="O35" s="447"/>
      <c r="P35" s="447"/>
      <c r="Q35" s="447"/>
      <c r="R35" s="447"/>
      <c r="S35" s="447"/>
      <c r="T35" s="447"/>
      <c r="U35" s="447"/>
      <c r="V35" s="447"/>
      <c r="W35" s="447"/>
      <c r="X35" s="447"/>
      <c r="Y35" s="447"/>
      <c r="Z35" s="447"/>
      <c r="AA35" s="447"/>
      <c r="AB35" s="447"/>
      <c r="AC35" s="447"/>
      <c r="AD35" s="447"/>
      <c r="AE35" s="447"/>
      <c r="AF35" s="447"/>
      <c r="AG35" s="447"/>
      <c r="AH35" s="447"/>
      <c r="AI35" s="447"/>
      <c r="AJ35" s="447"/>
      <c r="AK35" s="447"/>
      <c r="AL35" s="447"/>
      <c r="AM35" s="447"/>
      <c r="AN35" s="447"/>
      <c r="AO35" s="447"/>
      <c r="AP35" s="447"/>
      <c r="AQ35" s="447"/>
      <c r="AR35" s="447"/>
      <c r="AS35" s="447"/>
      <c r="AT35" s="447"/>
      <c r="AU35" s="447"/>
      <c r="AV35" s="447"/>
      <c r="AW35" s="447"/>
      <c r="AX35" s="447"/>
      <c r="AY35" s="447"/>
      <c r="AZ35" s="447"/>
      <c r="BA35" s="447"/>
      <c r="BB35" s="447"/>
      <c r="BC35" s="447"/>
      <c r="BD35" s="447"/>
      <c r="BE35" s="447"/>
      <c r="BF35" s="447"/>
      <c r="BG35" s="447"/>
      <c r="BH35" s="447"/>
      <c r="BI35" s="447"/>
      <c r="BJ35" s="447"/>
    </row>
    <row r="36" spans="1:122" s="404" customFormat="1" ht="17.399999999999999">
      <c r="A36" s="437" t="s">
        <v>261</v>
      </c>
      <c r="B36" s="438" t="s">
        <v>261</v>
      </c>
      <c r="C36" s="448">
        <f>EOMONTH(B30,12)</f>
        <v>46112</v>
      </c>
      <c r="D36" s="448">
        <f>EOMONTH(C36,12)</f>
        <v>46477</v>
      </c>
      <c r="E36" s="448">
        <f>EOMONTH(D36,12)</f>
        <v>46843</v>
      </c>
      <c r="F36" s="448">
        <f>EOMONTH(E36,12)</f>
        <v>47208</v>
      </c>
      <c r="G36" s="448">
        <f t="shared" ref="G36:K36" si="127">EOMONTH(F36,12)</f>
        <v>47573</v>
      </c>
      <c r="H36" s="448">
        <f t="shared" si="127"/>
        <v>47938</v>
      </c>
      <c r="I36" s="448">
        <f t="shared" si="127"/>
        <v>48304</v>
      </c>
      <c r="J36" s="448">
        <f t="shared" si="127"/>
        <v>48669</v>
      </c>
      <c r="K36" s="448">
        <f t="shared" si="127"/>
        <v>49034</v>
      </c>
      <c r="L36" s="448">
        <f>EOMONTH(K36,12)</f>
        <v>49399</v>
      </c>
    </row>
    <row r="37" spans="1:122" s="404" customFormat="1" ht="17.399999999999999">
      <c r="A37" s="437" t="s">
        <v>16</v>
      </c>
      <c r="B37" s="438" t="s">
        <v>16</v>
      </c>
      <c r="C37" s="438">
        <v>1</v>
      </c>
      <c r="D37" s="438">
        <f>C37+1</f>
        <v>2</v>
      </c>
      <c r="E37" s="438">
        <f t="shared" ref="E37:L37" si="128">D37+1</f>
        <v>3</v>
      </c>
      <c r="F37" s="438">
        <f t="shared" si="128"/>
        <v>4</v>
      </c>
      <c r="G37" s="438">
        <f t="shared" si="128"/>
        <v>5</v>
      </c>
      <c r="H37" s="438">
        <f t="shared" si="128"/>
        <v>6</v>
      </c>
      <c r="I37" s="438">
        <f t="shared" si="128"/>
        <v>7</v>
      </c>
      <c r="J37" s="438">
        <f t="shared" si="128"/>
        <v>8</v>
      </c>
      <c r="K37" s="438">
        <f t="shared" si="128"/>
        <v>9</v>
      </c>
      <c r="L37" s="438">
        <f t="shared" si="128"/>
        <v>10</v>
      </c>
    </row>
    <row r="38" spans="1:122" s="404" customFormat="1" ht="17.399999999999999">
      <c r="A38" s="440" t="s">
        <v>350</v>
      </c>
      <c r="B38" s="449" t="s">
        <v>155</v>
      </c>
      <c r="C38" s="449" t="s">
        <v>354</v>
      </c>
      <c r="D38" s="449" t="s">
        <v>355</v>
      </c>
      <c r="E38" s="449" t="s">
        <v>356</v>
      </c>
      <c r="F38" s="449" t="s">
        <v>357</v>
      </c>
      <c r="G38" s="449" t="s">
        <v>358</v>
      </c>
      <c r="H38" s="449" t="s">
        <v>359</v>
      </c>
      <c r="I38" s="449" t="s">
        <v>360</v>
      </c>
      <c r="J38" s="449" t="s">
        <v>361</v>
      </c>
      <c r="K38" s="449" t="s">
        <v>362</v>
      </c>
      <c r="L38" s="449" t="s">
        <v>363</v>
      </c>
    </row>
    <row r="39" spans="1:122" s="404" customFormat="1" ht="17.399999999999999">
      <c r="A39" s="405" t="str">
        <f>A31</f>
        <v xml:space="preserve">Стоимость доли </v>
      </c>
      <c r="B39" s="409">
        <f>B31/1000</f>
        <v>1000</v>
      </c>
      <c r="C39" s="409">
        <f t="shared" ref="C39:L39" si="129">HLOOKUP(C$36,$B$30:$DR$31,2,FALSE)/1000</f>
        <v>1165.6058592964939</v>
      </c>
      <c r="D39" s="409">
        <f t="shared" si="129"/>
        <v>1290.8268191711172</v>
      </c>
      <c r="E39" s="409">
        <f t="shared" si="129"/>
        <v>1428.604907222727</v>
      </c>
      <c r="F39" s="409">
        <f t="shared" si="129"/>
        <v>1580.3795160228942</v>
      </c>
      <c r="G39" s="409">
        <f t="shared" si="129"/>
        <v>1747.7529762746342</v>
      </c>
      <c r="H39" s="409">
        <f t="shared" si="129"/>
        <v>1932.541983842302</v>
      </c>
      <c r="I39" s="409">
        <f t="shared" si="129"/>
        <v>2624.7140467518147</v>
      </c>
      <c r="J39" s="409">
        <f t="shared" si="129"/>
        <v>2898.2079337021974</v>
      </c>
      <c r="K39" s="409">
        <f t="shared" si="129"/>
        <v>3199.5834550543277</v>
      </c>
      <c r="L39" s="409">
        <f t="shared" si="129"/>
        <v>3531.9056978402855</v>
      </c>
    </row>
    <row r="40" spans="1:122" s="404" customFormat="1" ht="17.399999999999999">
      <c r="A40" s="405" t="s">
        <v>85</v>
      </c>
      <c r="B40" s="409">
        <f>B32</f>
        <v>0</v>
      </c>
      <c r="C40" s="450">
        <f t="shared" ref="C40:L40" si="130">SUMIF($C$28:$DR$28,C$37,$C$32:$DR$32)/1000</f>
        <v>69.565217391304358</v>
      </c>
      <c r="D40" s="450">
        <f t="shared" si="130"/>
        <v>74.34782608695653</v>
      </c>
      <c r="E40" s="450">
        <f t="shared" si="130"/>
        <v>85.217391304347842</v>
      </c>
      <c r="F40" s="450">
        <f t="shared" si="130"/>
        <v>94.34782608695653</v>
      </c>
      <c r="G40" s="450">
        <f t="shared" si="130"/>
        <v>99.130434782608702</v>
      </c>
      <c r="H40" s="450">
        <f t="shared" si="130"/>
        <v>101.30434782608694</v>
      </c>
      <c r="I40" s="450">
        <f t="shared" si="130"/>
        <v>110</v>
      </c>
      <c r="J40" s="450">
        <f t="shared" si="130"/>
        <v>150</v>
      </c>
      <c r="K40" s="450">
        <f t="shared" si="130"/>
        <v>165.21739130434781</v>
      </c>
      <c r="L40" s="450">
        <f t="shared" si="130"/>
        <v>181.73913043478262</v>
      </c>
      <c r="M40" s="117"/>
      <c r="N40" s="117"/>
      <c r="O40" s="451"/>
    </row>
    <row r="41" spans="1:122" s="404" customFormat="1" ht="17.399999999999999">
      <c r="A41" s="405"/>
      <c r="B41" s="409"/>
      <c r="C41" s="409"/>
      <c r="D41" s="391"/>
      <c r="E41" s="391"/>
      <c r="F41" s="391"/>
      <c r="G41" s="391"/>
      <c r="H41" s="391"/>
      <c r="I41" s="391"/>
      <c r="J41" s="391"/>
      <c r="K41" s="391"/>
      <c r="L41" s="391"/>
      <c r="M41" s="117"/>
      <c r="N41" s="117"/>
    </row>
    <row r="42" spans="1:122" s="404" customFormat="1" ht="17.399999999999999">
      <c r="A42" s="405"/>
      <c r="B42" s="409"/>
      <c r="C42" s="409"/>
      <c r="D42" s="409"/>
      <c r="E42" s="409"/>
      <c r="F42" s="409"/>
      <c r="G42" s="409"/>
      <c r="H42" s="409"/>
      <c r="I42" s="409"/>
      <c r="J42" s="409"/>
      <c r="K42" s="409"/>
      <c r="L42" s="409"/>
      <c r="M42" s="409"/>
      <c r="N42" s="409"/>
    </row>
    <row r="43" spans="1:122" s="404" customFormat="1" ht="17.399999999999999">
      <c r="A43" s="405"/>
      <c r="B43" s="409"/>
      <c r="C43" s="409"/>
      <c r="D43" s="409"/>
      <c r="E43" s="409"/>
      <c r="F43" s="409"/>
      <c r="G43" s="409"/>
      <c r="H43" s="409"/>
      <c r="I43" s="409"/>
      <c r="J43" s="409"/>
      <c r="K43" s="409"/>
      <c r="L43" s="409"/>
      <c r="M43" s="409"/>
      <c r="N43" s="409"/>
    </row>
    <row r="44" spans="1:122" s="404" customFormat="1" ht="17.399999999999999">
      <c r="A44" s="405"/>
      <c r="B44" s="409"/>
      <c r="C44" s="409"/>
      <c r="D44" s="409"/>
      <c r="E44" s="409"/>
      <c r="F44" s="409"/>
      <c r="G44" s="409"/>
      <c r="H44" s="409"/>
      <c r="I44" s="409"/>
      <c r="J44" s="409"/>
      <c r="K44" s="409"/>
      <c r="L44" s="409"/>
      <c r="M44" s="409"/>
      <c r="N44" s="409"/>
    </row>
    <row r="45" spans="1:122" s="404" customFormat="1" ht="17.399999999999999">
      <c r="A45" s="405"/>
      <c r="B45" s="409"/>
      <c r="C45" s="409"/>
      <c r="D45" s="409"/>
      <c r="E45" s="409"/>
      <c r="F45" s="409"/>
      <c r="G45" s="409"/>
      <c r="H45" s="409"/>
      <c r="I45" s="409"/>
      <c r="J45" s="409"/>
      <c r="K45" s="409"/>
      <c r="L45" s="409"/>
      <c r="M45" s="409"/>
      <c r="N45" s="409"/>
    </row>
    <row r="46" spans="1:122" s="404" customFormat="1" ht="17.399999999999999">
      <c r="A46" s="405"/>
      <c r="B46" s="409"/>
      <c r="C46" s="409"/>
      <c r="D46" s="409"/>
      <c r="E46" s="409"/>
      <c r="F46" s="409"/>
      <c r="G46" s="409"/>
      <c r="H46" s="409"/>
      <c r="I46" s="409"/>
      <c r="J46" s="409"/>
      <c r="K46" s="409"/>
      <c r="L46" s="409"/>
      <c r="M46" s="409"/>
      <c r="N46" s="409"/>
    </row>
    <row r="47" spans="1:122" s="404" customFormat="1" ht="17.399999999999999">
      <c r="A47" s="405"/>
      <c r="B47" s="409"/>
      <c r="C47" s="409"/>
      <c r="D47" s="409"/>
      <c r="E47" s="409"/>
      <c r="F47" s="409"/>
      <c r="G47" s="409"/>
      <c r="H47" s="409"/>
      <c r="I47" s="409"/>
      <c r="J47" s="409"/>
      <c r="K47" s="409"/>
      <c r="L47" s="409"/>
      <c r="M47" s="409"/>
      <c r="N47" s="409"/>
    </row>
    <row r="48" spans="1:122" s="404" customFormat="1" ht="17.399999999999999">
      <c r="A48" s="405"/>
      <c r="B48" s="409"/>
      <c r="C48" s="409"/>
      <c r="D48" s="409"/>
      <c r="E48" s="409"/>
      <c r="F48" s="409"/>
      <c r="G48" s="409"/>
      <c r="H48" s="409"/>
      <c r="I48" s="409"/>
      <c r="J48" s="409"/>
      <c r="K48" s="409"/>
      <c r="L48" s="409"/>
      <c r="M48" s="409"/>
      <c r="N48" s="409"/>
    </row>
    <row r="49" spans="1:14" s="404" customFormat="1" ht="17.399999999999999">
      <c r="A49" s="405"/>
      <c r="B49" s="409"/>
      <c r="C49" s="409"/>
      <c r="D49" s="409"/>
      <c r="E49" s="409"/>
      <c r="F49" s="409"/>
      <c r="G49" s="409"/>
      <c r="H49" s="409"/>
      <c r="I49" s="409"/>
      <c r="J49" s="409"/>
      <c r="K49" s="409"/>
      <c r="L49" s="409"/>
      <c r="M49" s="409"/>
      <c r="N49" s="409"/>
    </row>
    <row r="50" spans="1:14" s="404" customFormat="1" ht="17.399999999999999">
      <c r="A50" s="405"/>
      <c r="B50" s="409"/>
      <c r="C50" s="409"/>
      <c r="D50" s="409"/>
      <c r="E50" s="409"/>
      <c r="F50" s="409"/>
      <c r="G50" s="409"/>
      <c r="H50" s="409"/>
      <c r="I50" s="409"/>
      <c r="J50" s="409"/>
      <c r="K50" s="409"/>
      <c r="L50" s="409"/>
      <c r="M50" s="409"/>
      <c r="N50" s="409"/>
    </row>
    <row r="51" spans="1:14" s="404" customFormat="1" ht="17.399999999999999">
      <c r="A51" s="405"/>
      <c r="B51" s="409"/>
      <c r="C51" s="409"/>
      <c r="D51" s="409"/>
      <c r="E51" s="409"/>
      <c r="F51" s="409"/>
      <c r="G51" s="409"/>
      <c r="H51" s="409"/>
      <c r="I51" s="409"/>
      <c r="J51" s="409"/>
      <c r="K51" s="409"/>
      <c r="L51" s="409"/>
      <c r="M51" s="409"/>
      <c r="N51" s="409"/>
    </row>
    <row r="52" spans="1:14" s="404" customFormat="1" ht="17.399999999999999">
      <c r="A52" s="405"/>
      <c r="B52" s="409"/>
      <c r="C52" s="409"/>
      <c r="D52" s="409"/>
      <c r="E52" s="409"/>
      <c r="F52" s="409"/>
      <c r="G52" s="409"/>
      <c r="H52" s="409"/>
      <c r="I52" s="409"/>
      <c r="J52" s="409"/>
      <c r="K52" s="409"/>
      <c r="L52" s="409"/>
      <c r="M52" s="409"/>
      <c r="N52" s="409"/>
    </row>
    <row r="53" spans="1:14" s="404" customFormat="1" ht="17.399999999999999">
      <c r="A53" s="405"/>
      <c r="B53" s="409"/>
      <c r="C53" s="409"/>
      <c r="D53" s="409"/>
      <c r="E53" s="409"/>
      <c r="F53" s="409"/>
      <c r="G53" s="409"/>
      <c r="H53" s="409"/>
      <c r="I53" s="409"/>
      <c r="J53" s="409"/>
      <c r="K53" s="409"/>
      <c r="L53" s="409"/>
      <c r="M53" s="409"/>
      <c r="N53" s="409"/>
    </row>
    <row r="54" spans="1:14" s="404" customFormat="1" ht="17.399999999999999">
      <c r="A54" s="405"/>
      <c r="B54" s="409"/>
      <c r="C54" s="409"/>
      <c r="D54" s="409"/>
      <c r="E54" s="409"/>
      <c r="F54" s="409"/>
      <c r="G54" s="409"/>
      <c r="H54" s="409"/>
      <c r="I54" s="409"/>
      <c r="J54" s="409"/>
      <c r="K54" s="409"/>
      <c r="L54" s="409"/>
      <c r="M54" s="409"/>
      <c r="N54" s="409"/>
    </row>
    <row r="55" spans="1:14" s="404" customFormat="1" ht="17.399999999999999">
      <c r="A55" s="405"/>
      <c r="B55" s="409"/>
      <c r="C55" s="409"/>
      <c r="D55" s="409"/>
      <c r="E55" s="409"/>
      <c r="F55" s="409"/>
      <c r="G55" s="409"/>
      <c r="H55" s="409"/>
      <c r="I55" s="409"/>
      <c r="J55" s="409"/>
      <c r="K55" s="409"/>
      <c r="L55" s="409"/>
      <c r="M55" s="409"/>
      <c r="N55" s="409"/>
    </row>
    <row r="56" spans="1:14" s="404" customFormat="1" ht="17.399999999999999">
      <c r="A56" s="405"/>
      <c r="B56" s="409"/>
      <c r="C56" s="409"/>
      <c r="D56" s="409"/>
      <c r="E56" s="409"/>
      <c r="F56" s="409"/>
      <c r="G56" s="409"/>
      <c r="H56" s="409"/>
      <c r="I56" s="409"/>
      <c r="J56" s="409"/>
      <c r="K56" s="409"/>
      <c r="L56" s="409"/>
      <c r="M56" s="409"/>
      <c r="N56" s="409"/>
    </row>
    <row r="57" spans="1:14" s="404" customFormat="1" ht="17.399999999999999">
      <c r="A57" s="405"/>
      <c r="B57" s="409"/>
      <c r="C57" s="409"/>
      <c r="D57" s="409"/>
      <c r="E57" s="409"/>
      <c r="F57" s="409"/>
      <c r="G57" s="409"/>
      <c r="H57" s="409"/>
      <c r="I57" s="409"/>
      <c r="J57" s="409"/>
      <c r="K57" s="409"/>
      <c r="L57" s="409"/>
      <c r="M57" s="409"/>
      <c r="N57" s="409"/>
    </row>
    <row r="58" spans="1:14" s="404" customFormat="1" ht="17.399999999999999">
      <c r="A58" s="405"/>
      <c r="B58" s="409"/>
      <c r="C58" s="409"/>
      <c r="D58" s="409"/>
      <c r="E58" s="409"/>
      <c r="F58" s="409"/>
      <c r="G58" s="409"/>
      <c r="H58" s="409"/>
      <c r="I58" s="409"/>
      <c r="J58" s="409"/>
      <c r="K58" s="409"/>
      <c r="L58" s="409"/>
      <c r="M58" s="409"/>
      <c r="N58" s="409"/>
    </row>
    <row r="59" spans="1:14" s="404" customFormat="1" ht="17.399999999999999">
      <c r="A59" s="405"/>
      <c r="B59" s="409"/>
      <c r="C59" s="409"/>
      <c r="D59" s="409"/>
      <c r="E59" s="409"/>
      <c r="F59" s="409"/>
      <c r="G59" s="409"/>
      <c r="H59" s="409"/>
      <c r="I59" s="409"/>
      <c r="J59" s="409"/>
      <c r="K59" s="409"/>
      <c r="L59" s="409"/>
      <c r="M59" s="409"/>
      <c r="N59" s="409"/>
    </row>
    <row r="60" spans="1:14" s="404" customFormat="1" ht="17.399999999999999" hidden="1">
      <c r="A60" s="405"/>
      <c r="B60" s="409"/>
      <c r="C60" s="409"/>
      <c r="D60" s="409"/>
      <c r="E60" s="409"/>
      <c r="F60" s="409"/>
      <c r="G60" s="409"/>
      <c r="H60" s="409"/>
      <c r="I60" s="409"/>
      <c r="J60" s="409"/>
      <c r="K60" s="409"/>
      <c r="L60" s="409"/>
      <c r="M60" s="409"/>
      <c r="N60" s="409"/>
    </row>
    <row r="61" spans="1:14" s="404" customFormat="1" ht="17.399999999999999" hidden="1">
      <c r="A61" s="405"/>
      <c r="B61" s="409"/>
      <c r="C61" s="409"/>
      <c r="D61" s="409"/>
      <c r="E61" s="409"/>
      <c r="F61" s="409"/>
      <c r="G61" s="409"/>
      <c r="H61" s="409"/>
      <c r="I61" s="409"/>
      <c r="J61" s="409"/>
      <c r="K61" s="409"/>
      <c r="L61" s="409"/>
      <c r="M61" s="409"/>
      <c r="N61" s="409"/>
    </row>
    <row r="62" spans="1:14" s="404" customFormat="1" ht="17.399999999999999" hidden="1">
      <c r="A62" s="405"/>
      <c r="B62" s="409"/>
      <c r="C62" s="409"/>
      <c r="D62" s="409"/>
      <c r="E62" s="409"/>
      <c r="F62" s="409"/>
      <c r="G62" s="409"/>
      <c r="H62" s="409"/>
      <c r="I62" s="409"/>
      <c r="J62" s="409"/>
      <c r="K62" s="409"/>
      <c r="L62" s="409"/>
      <c r="M62" s="409"/>
      <c r="N62" s="409"/>
    </row>
    <row r="63" spans="1:14" s="404" customFormat="1" ht="17.399999999999999" hidden="1">
      <c r="A63" s="405"/>
      <c r="B63" s="409"/>
      <c r="C63" s="409"/>
      <c r="D63" s="409"/>
      <c r="E63" s="409"/>
      <c r="F63" s="409"/>
      <c r="G63" s="409"/>
      <c r="H63" s="409"/>
      <c r="I63" s="409"/>
      <c r="J63" s="409"/>
      <c r="K63" s="409"/>
      <c r="L63" s="409"/>
      <c r="M63" s="409"/>
      <c r="N63" s="409"/>
    </row>
    <row r="64" spans="1:14" s="404" customFormat="1" ht="17.399999999999999" hidden="1">
      <c r="A64" s="405"/>
      <c r="B64" s="409"/>
      <c r="C64" s="409"/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</row>
    <row r="65" spans="1:14" s="404" customFormat="1" ht="17.399999999999999" hidden="1">
      <c r="A65" s="405"/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</row>
    <row r="66" spans="1:14" s="404" customFormat="1" ht="17.399999999999999" hidden="1">
      <c r="A66" s="405"/>
      <c r="B66" s="409"/>
      <c r="C66" s="409"/>
      <c r="D66" s="409"/>
      <c r="E66" s="409"/>
      <c r="F66" s="409"/>
      <c r="G66" s="409"/>
      <c r="H66" s="409"/>
      <c r="I66" s="409"/>
      <c r="J66" s="409"/>
      <c r="K66" s="409"/>
      <c r="L66" s="409"/>
      <c r="M66" s="409"/>
      <c r="N66" s="409"/>
    </row>
    <row r="67" spans="1:14" s="404" customFormat="1" ht="17.399999999999999" hidden="1">
      <c r="A67" s="405"/>
      <c r="B67" s="409"/>
      <c r="C67" s="409"/>
      <c r="D67" s="409"/>
      <c r="E67" s="409"/>
      <c r="F67" s="409"/>
      <c r="G67" s="409"/>
      <c r="H67" s="409"/>
      <c r="I67" s="409"/>
      <c r="J67" s="409"/>
      <c r="K67" s="409"/>
      <c r="L67" s="409"/>
      <c r="M67" s="409"/>
      <c r="N67" s="409"/>
    </row>
    <row r="68" spans="1:14" s="404" customFormat="1" ht="17.399999999999999" hidden="1">
      <c r="A68" s="405"/>
      <c r="B68" s="409"/>
      <c r="C68" s="409"/>
      <c r="D68" s="409"/>
      <c r="E68" s="409"/>
      <c r="F68" s="409"/>
      <c r="G68" s="409"/>
      <c r="H68" s="409"/>
      <c r="I68" s="409"/>
      <c r="J68" s="409"/>
      <c r="K68" s="409"/>
      <c r="L68" s="409"/>
      <c r="M68" s="409"/>
      <c r="N68" s="409"/>
    </row>
    <row r="69" spans="1:14" s="404" customFormat="1" ht="17.399999999999999" hidden="1">
      <c r="A69" s="405"/>
      <c r="B69" s="409"/>
      <c r="C69" s="409"/>
      <c r="D69" s="409"/>
      <c r="E69" s="409"/>
      <c r="F69" s="409"/>
      <c r="G69" s="409"/>
      <c r="H69" s="409"/>
      <c r="I69" s="409"/>
      <c r="J69" s="409"/>
      <c r="K69" s="409"/>
      <c r="L69" s="409"/>
      <c r="M69" s="409"/>
      <c r="N69" s="409"/>
    </row>
    <row r="70" spans="1:14" s="404" customFormat="1" ht="17.399999999999999" hidden="1">
      <c r="A70" s="405"/>
      <c r="B70" s="409"/>
      <c r="C70" s="409"/>
      <c r="D70" s="409"/>
      <c r="E70" s="409"/>
      <c r="F70" s="409"/>
      <c r="G70" s="409"/>
      <c r="H70" s="409"/>
      <c r="I70" s="409"/>
      <c r="J70" s="409"/>
      <c r="K70" s="409"/>
      <c r="L70" s="409"/>
      <c r="M70" s="409"/>
      <c r="N70" s="409"/>
    </row>
    <row r="71" spans="1:14" s="404" customFormat="1" ht="17.399999999999999" hidden="1">
      <c r="A71" s="405"/>
      <c r="B71" s="409"/>
      <c r="C71" s="409"/>
      <c r="D71" s="409"/>
      <c r="E71" s="409"/>
      <c r="F71" s="409"/>
      <c r="G71" s="409"/>
      <c r="H71" s="409"/>
      <c r="I71" s="409"/>
      <c r="J71" s="409"/>
      <c r="K71" s="409"/>
      <c r="L71" s="409"/>
      <c r="M71" s="409"/>
      <c r="N71" s="409"/>
    </row>
    <row r="72" spans="1:14" s="404" customFormat="1" ht="17.399999999999999" hidden="1">
      <c r="A72" s="405"/>
      <c r="B72" s="409"/>
      <c r="C72" s="409"/>
      <c r="D72" s="409"/>
      <c r="E72" s="409"/>
      <c r="F72" s="409"/>
      <c r="G72" s="409"/>
      <c r="H72" s="409"/>
      <c r="I72" s="409"/>
      <c r="J72" s="409"/>
      <c r="K72" s="409"/>
      <c r="L72" s="409"/>
      <c r="M72" s="409"/>
      <c r="N72" s="409"/>
    </row>
    <row r="73" spans="1:14" s="404" customFormat="1" ht="17.399999999999999" hidden="1">
      <c r="A73" s="405"/>
      <c r="B73" s="409"/>
      <c r="C73" s="409"/>
      <c r="D73" s="409"/>
      <c r="E73" s="409"/>
      <c r="F73" s="409"/>
      <c r="G73" s="409"/>
      <c r="H73" s="409"/>
      <c r="I73" s="409"/>
      <c r="J73" s="409"/>
      <c r="K73" s="409"/>
      <c r="L73" s="409"/>
      <c r="M73" s="409"/>
      <c r="N73" s="409"/>
    </row>
    <row r="74" spans="1:14" s="404" customFormat="1" ht="17.399999999999999" hidden="1">
      <c r="A74" s="405"/>
      <c r="B74" s="409"/>
      <c r="C74" s="409"/>
      <c r="D74" s="409"/>
      <c r="E74" s="409"/>
      <c r="F74" s="409"/>
      <c r="G74" s="409"/>
      <c r="H74" s="409"/>
      <c r="I74" s="409"/>
      <c r="J74" s="409"/>
      <c r="K74" s="409"/>
      <c r="L74" s="409"/>
      <c r="M74" s="409"/>
      <c r="N74" s="409"/>
    </row>
    <row r="75" spans="1:14" s="404" customFormat="1" ht="17.399999999999999" hidden="1">
      <c r="A75" s="405"/>
      <c r="B75" s="409"/>
      <c r="C75" s="409"/>
      <c r="D75" s="409"/>
      <c r="E75" s="409"/>
      <c r="F75" s="409"/>
      <c r="G75" s="409"/>
      <c r="H75" s="409"/>
      <c r="I75" s="409"/>
      <c r="J75" s="409"/>
      <c r="K75" s="409"/>
      <c r="L75" s="409"/>
      <c r="M75" s="409"/>
      <c r="N75" s="409"/>
    </row>
    <row r="76" spans="1:14" s="404" customFormat="1" ht="17.399999999999999" hidden="1">
      <c r="A76" s="405"/>
      <c r="B76" s="409"/>
      <c r="C76" s="409"/>
      <c r="D76" s="409"/>
      <c r="E76" s="409"/>
      <c r="F76" s="409"/>
      <c r="G76" s="409"/>
      <c r="H76" s="409"/>
      <c r="I76" s="409"/>
      <c r="J76" s="409"/>
      <c r="K76" s="409"/>
      <c r="L76" s="409"/>
      <c r="M76" s="409"/>
      <c r="N76" s="409"/>
    </row>
    <row r="77" spans="1:14" s="404" customFormat="1" ht="17.399999999999999" hidden="1">
      <c r="A77" s="405"/>
      <c r="B77" s="409"/>
      <c r="C77" s="409"/>
      <c r="D77" s="409"/>
      <c r="E77" s="409"/>
      <c r="F77" s="409"/>
      <c r="G77" s="409"/>
      <c r="H77" s="409"/>
      <c r="I77" s="409"/>
      <c r="J77" s="409"/>
      <c r="K77" s="409"/>
      <c r="L77" s="409"/>
      <c r="M77" s="409"/>
      <c r="N77" s="409"/>
    </row>
    <row r="78" spans="1:14" s="404" customFormat="1" ht="17.399999999999999" hidden="1">
      <c r="A78" s="405"/>
      <c r="B78" s="409"/>
      <c r="C78" s="409"/>
      <c r="D78" s="409"/>
      <c r="E78" s="409"/>
      <c r="F78" s="409"/>
      <c r="G78" s="409"/>
      <c r="H78" s="409"/>
      <c r="I78" s="409"/>
      <c r="J78" s="409"/>
      <c r="K78" s="409"/>
      <c r="L78" s="409"/>
      <c r="M78" s="409"/>
      <c r="N78" s="409"/>
    </row>
    <row r="79" spans="1:14" s="404" customFormat="1" ht="17.399999999999999" hidden="1">
      <c r="A79" s="405"/>
      <c r="B79" s="409"/>
      <c r="C79" s="409"/>
      <c r="D79" s="409"/>
      <c r="E79" s="409"/>
      <c r="F79" s="409"/>
      <c r="G79" s="409"/>
      <c r="H79" s="409"/>
      <c r="I79" s="409"/>
      <c r="J79" s="409"/>
      <c r="K79" s="409"/>
      <c r="L79" s="409"/>
      <c r="M79" s="409"/>
      <c r="N79" s="409"/>
    </row>
    <row r="80" spans="1:14" s="404" customFormat="1" ht="17.399999999999999" hidden="1">
      <c r="A80" s="405"/>
      <c r="B80" s="409"/>
      <c r="C80" s="409"/>
      <c r="D80" s="409"/>
      <c r="E80" s="409"/>
      <c r="F80" s="409"/>
      <c r="G80" s="409"/>
      <c r="H80" s="409"/>
      <c r="I80" s="409"/>
      <c r="J80" s="409"/>
      <c r="K80" s="409"/>
      <c r="L80" s="409"/>
      <c r="M80" s="409"/>
      <c r="N80" s="409"/>
    </row>
    <row r="81" spans="1:18" s="404" customFormat="1" ht="17.399999999999999" hidden="1">
      <c r="A81" s="405"/>
      <c r="B81" s="409"/>
      <c r="C81" s="409"/>
      <c r="D81" s="409"/>
      <c r="E81" s="409"/>
      <c r="F81" s="409"/>
      <c r="G81" s="409"/>
      <c r="H81" s="409"/>
      <c r="I81" s="409"/>
      <c r="J81" s="409"/>
      <c r="K81" s="409"/>
      <c r="L81" s="409"/>
      <c r="M81" s="409"/>
      <c r="N81" s="409"/>
    </row>
    <row r="82" spans="1:18" s="404" customFormat="1" ht="17.399999999999999" hidden="1">
      <c r="A82" s="405"/>
      <c r="B82" s="409"/>
      <c r="C82" s="409"/>
      <c r="D82" s="409"/>
      <c r="E82" s="409"/>
      <c r="F82" s="409"/>
      <c r="G82" s="409"/>
      <c r="H82" s="409"/>
      <c r="I82" s="409"/>
      <c r="J82" s="409"/>
      <c r="K82" s="409"/>
      <c r="L82" s="409"/>
      <c r="M82" s="409"/>
      <c r="N82" s="409"/>
    </row>
    <row r="83" spans="1:18" s="404" customFormat="1" ht="17.399999999999999" hidden="1">
      <c r="A83" s="405"/>
      <c r="B83" s="409"/>
      <c r="C83" s="409"/>
      <c r="D83" s="409"/>
      <c r="E83" s="409"/>
      <c r="F83" s="409"/>
      <c r="G83" s="409"/>
      <c r="H83" s="409"/>
      <c r="I83" s="409"/>
      <c r="J83" s="409"/>
      <c r="K83" s="409"/>
      <c r="L83" s="409"/>
      <c r="M83" s="409"/>
      <c r="N83" s="409"/>
    </row>
    <row r="84" spans="1:18" s="404" customFormat="1" ht="17.399999999999999" hidden="1">
      <c r="A84" s="405"/>
      <c r="B84" s="409"/>
      <c r="C84" s="409"/>
      <c r="D84" s="409"/>
      <c r="E84" s="409"/>
      <c r="F84" s="409"/>
      <c r="G84" s="409"/>
      <c r="H84" s="409"/>
      <c r="I84" s="409"/>
      <c r="J84" s="409"/>
      <c r="K84" s="409"/>
      <c r="L84" s="409"/>
      <c r="M84" s="409"/>
      <c r="N84" s="409"/>
    </row>
    <row r="85" spans="1:18" s="404" customFormat="1" ht="28.95" hidden="1" customHeight="1">
      <c r="A85" s="405"/>
      <c r="B85" s="452"/>
      <c r="C85" s="452"/>
      <c r="D85" s="452"/>
      <c r="E85" s="452"/>
      <c r="F85" s="452"/>
      <c r="G85" s="452"/>
      <c r="H85" s="452"/>
      <c r="I85" s="452"/>
      <c r="J85" s="452"/>
      <c r="K85" s="452"/>
      <c r="L85" s="452"/>
      <c r="M85" s="452"/>
      <c r="N85" s="453"/>
      <c r="O85" s="454"/>
      <c r="P85" s="454"/>
      <c r="Q85" s="454"/>
      <c r="R85" s="454"/>
    </row>
    <row r="86" spans="1:18" s="404" customFormat="1" ht="17.399999999999999" hidden="1">
      <c r="A86" s="405"/>
      <c r="B86" s="452"/>
      <c r="C86" s="452"/>
      <c r="D86" s="452"/>
      <c r="E86" s="452"/>
      <c r="F86" s="452"/>
      <c r="G86" s="452"/>
      <c r="H86" s="452"/>
      <c r="I86" s="452"/>
      <c r="J86" s="452"/>
      <c r="K86" s="452"/>
      <c r="L86" s="452"/>
      <c r="M86" s="452"/>
      <c r="N86" s="453"/>
      <c r="O86" s="454"/>
      <c r="P86" s="454"/>
      <c r="Q86" s="454"/>
      <c r="R86" s="454"/>
    </row>
    <row r="87" spans="1:18" s="404" customFormat="1" ht="17.399999999999999" hidden="1">
      <c r="A87" s="405"/>
      <c r="B87" s="452"/>
      <c r="C87" s="452"/>
      <c r="D87" s="452"/>
      <c r="E87" s="452"/>
      <c r="F87" s="452"/>
      <c r="G87" s="452"/>
      <c r="H87" s="452"/>
      <c r="I87" s="452"/>
      <c r="J87" s="452"/>
      <c r="K87" s="452"/>
      <c r="L87" s="452"/>
      <c r="M87" s="452"/>
      <c r="N87" s="453"/>
      <c r="O87" s="454"/>
      <c r="P87" s="454"/>
      <c r="Q87" s="454"/>
      <c r="R87" s="454"/>
    </row>
    <row r="88" spans="1:18" s="404" customFormat="1" ht="17.399999999999999" hidden="1">
      <c r="A88" s="405"/>
      <c r="B88" s="452"/>
      <c r="C88" s="452"/>
      <c r="D88" s="452"/>
      <c r="E88" s="452"/>
      <c r="F88" s="452"/>
      <c r="G88" s="452"/>
      <c r="H88" s="452"/>
      <c r="I88" s="452"/>
      <c r="J88" s="452"/>
      <c r="K88" s="452"/>
      <c r="L88" s="452"/>
      <c r="M88" s="452"/>
      <c r="N88" s="452"/>
      <c r="O88" s="421"/>
      <c r="P88" s="421"/>
      <c r="Q88" s="454"/>
      <c r="R88" s="454"/>
    </row>
    <row r="89" spans="1:18" s="404" customFormat="1" ht="17.399999999999999" hidden="1">
      <c r="A89" s="405"/>
      <c r="B89" s="452"/>
      <c r="C89" s="452"/>
      <c r="D89" s="452"/>
      <c r="E89" s="452"/>
      <c r="F89" s="452"/>
      <c r="G89" s="452"/>
      <c r="H89" s="452"/>
      <c r="I89" s="452"/>
      <c r="J89" s="452"/>
      <c r="K89" s="452"/>
      <c r="L89" s="452"/>
      <c r="M89" s="452"/>
      <c r="N89" s="409"/>
      <c r="O89" s="421"/>
      <c r="P89" s="421"/>
      <c r="Q89" s="454"/>
      <c r="R89" s="454"/>
    </row>
    <row r="90" spans="1:18" s="404" customFormat="1" ht="17.399999999999999" hidden="1">
      <c r="A90" s="405"/>
      <c r="B90" s="452"/>
      <c r="C90" s="452"/>
      <c r="D90" s="452"/>
      <c r="E90" s="452"/>
      <c r="F90" s="452"/>
      <c r="G90" s="452"/>
      <c r="H90" s="452"/>
      <c r="I90" s="452"/>
      <c r="J90" s="452"/>
      <c r="K90" s="452"/>
      <c r="L90" s="452"/>
      <c r="M90" s="452"/>
      <c r="N90" s="409"/>
      <c r="O90" s="421"/>
      <c r="P90" s="421"/>
      <c r="Q90" s="454"/>
      <c r="R90" s="454"/>
    </row>
    <row r="91" spans="1:18" s="404" customFormat="1" ht="17.399999999999999" hidden="1">
      <c r="A91" s="405"/>
      <c r="B91" s="452"/>
      <c r="C91" s="452"/>
      <c r="D91" s="452"/>
      <c r="E91" s="452"/>
      <c r="F91" s="452"/>
      <c r="G91" s="452"/>
      <c r="H91" s="452"/>
      <c r="I91" s="452"/>
      <c r="J91" s="452"/>
      <c r="K91" s="452"/>
      <c r="L91" s="452"/>
      <c r="M91" s="452"/>
      <c r="N91" s="409"/>
      <c r="O91" s="421"/>
      <c r="P91" s="421"/>
      <c r="Q91" s="454"/>
      <c r="R91" s="454"/>
    </row>
    <row r="92" spans="1:18" s="404" customFormat="1" ht="17.399999999999999" hidden="1">
      <c r="A92" s="405"/>
      <c r="B92" s="452"/>
      <c r="C92" s="452"/>
      <c r="D92" s="452"/>
      <c r="E92" s="452"/>
      <c r="F92" s="452"/>
      <c r="G92" s="452"/>
      <c r="H92" s="452"/>
      <c r="I92" s="452"/>
      <c r="J92" s="452"/>
      <c r="K92" s="452"/>
      <c r="L92" s="452"/>
      <c r="M92" s="452"/>
      <c r="N92" s="409"/>
      <c r="O92" s="421"/>
      <c r="P92" s="421"/>
      <c r="Q92" s="454"/>
      <c r="R92" s="454"/>
    </row>
    <row r="93" spans="1:18" s="404" customFormat="1" ht="17.399999999999999" hidden="1">
      <c r="A93" s="405"/>
      <c r="B93" s="452"/>
      <c r="C93" s="452"/>
      <c r="D93" s="452"/>
      <c r="E93" s="452"/>
      <c r="F93" s="452"/>
      <c r="G93" s="452"/>
      <c r="H93" s="452"/>
      <c r="I93" s="452"/>
      <c r="J93" s="452"/>
      <c r="K93" s="452"/>
      <c r="L93" s="452"/>
      <c r="M93" s="452"/>
      <c r="N93" s="409"/>
      <c r="O93" s="421"/>
      <c r="P93" s="421"/>
      <c r="Q93" s="454"/>
      <c r="R93" s="454"/>
    </row>
    <row r="94" spans="1:18" s="404" customFormat="1" ht="17.399999999999999" hidden="1">
      <c r="A94" s="405"/>
      <c r="B94" s="452"/>
      <c r="C94" s="452"/>
      <c r="D94" s="452"/>
      <c r="E94" s="452"/>
      <c r="F94" s="452"/>
      <c r="G94" s="452"/>
      <c r="H94" s="452"/>
      <c r="I94" s="452"/>
      <c r="J94" s="452"/>
      <c r="K94" s="452"/>
      <c r="L94" s="452"/>
      <c r="M94" s="452"/>
      <c r="N94" s="409"/>
      <c r="O94" s="421"/>
      <c r="P94" s="421"/>
      <c r="Q94" s="454"/>
      <c r="R94" s="454"/>
    </row>
    <row r="95" spans="1:18" s="404" customFormat="1" ht="17.399999999999999" hidden="1">
      <c r="B95" s="455"/>
      <c r="C95" s="456" t="s">
        <v>155</v>
      </c>
      <c r="D95" s="456" t="s">
        <v>57</v>
      </c>
      <c r="E95" s="456" t="s">
        <v>58</v>
      </c>
      <c r="F95" s="456" t="s">
        <v>59</v>
      </c>
      <c r="G95" s="456" t="s">
        <v>60</v>
      </c>
      <c r="H95" s="456" t="s">
        <v>61</v>
      </c>
      <c r="I95" s="456" t="s">
        <v>62</v>
      </c>
      <c r="J95" s="456" t="s">
        <v>63</v>
      </c>
      <c r="K95" s="456" t="s">
        <v>64</v>
      </c>
      <c r="L95" s="456" t="s">
        <v>65</v>
      </c>
      <c r="M95" s="456" t="s">
        <v>66</v>
      </c>
      <c r="N95" s="406"/>
      <c r="O95" s="421"/>
      <c r="P95" s="421"/>
      <c r="Q95" s="454"/>
      <c r="R95" s="454"/>
    </row>
    <row r="96" spans="1:18" s="404" customFormat="1" ht="17.399999999999999" hidden="1">
      <c r="B96" s="455" t="s">
        <v>29</v>
      </c>
      <c r="C96" s="456">
        <v>0</v>
      </c>
      <c r="D96" s="456" t="e">
        <f>#REF!/10^3</f>
        <v>#REF!</v>
      </c>
      <c r="E96" s="456" t="e">
        <f>#REF!/10^3</f>
        <v>#REF!</v>
      </c>
      <c r="F96" s="456" t="e">
        <f>#REF!/10^3</f>
        <v>#REF!</v>
      </c>
      <c r="G96" s="456" t="e">
        <f>#REF!/10^3</f>
        <v>#REF!</v>
      </c>
      <c r="H96" s="456" t="e">
        <f>#REF!/10^3</f>
        <v>#REF!</v>
      </c>
      <c r="I96" s="456" t="e">
        <f>#REF!/10^3</f>
        <v>#REF!</v>
      </c>
      <c r="J96" s="456" t="e">
        <f>#REF!/10^3</f>
        <v>#REF!</v>
      </c>
      <c r="K96" s="456" t="e">
        <f>#REF!/10^3</f>
        <v>#REF!</v>
      </c>
      <c r="L96" s="456" t="e">
        <f>#REF!/10^3</f>
        <v>#REF!</v>
      </c>
      <c r="M96" s="456" t="e">
        <f>#REF!/10^3</f>
        <v>#REF!</v>
      </c>
      <c r="N96" s="406"/>
      <c r="O96" s="421"/>
      <c r="P96" s="421"/>
      <c r="Q96" s="454"/>
      <c r="R96" s="454"/>
    </row>
    <row r="97" spans="2:18" s="404" customFormat="1" ht="17.399999999999999" hidden="1">
      <c r="B97" s="455" t="s">
        <v>167</v>
      </c>
      <c r="C97" s="456">
        <f>D19/10^3</f>
        <v>1000</v>
      </c>
      <c r="D97" s="456" t="e">
        <f>#REF!/10^3</f>
        <v>#REF!</v>
      </c>
      <c r="E97" s="456" t="e">
        <f>#REF!/10^3</f>
        <v>#REF!</v>
      </c>
      <c r="F97" s="456" t="e">
        <f>#REF!/10^3</f>
        <v>#REF!</v>
      </c>
      <c r="G97" s="456" t="e">
        <f>#REF!/10^3</f>
        <v>#REF!</v>
      </c>
      <c r="H97" s="456" t="e">
        <f>#REF!/10^3</f>
        <v>#REF!</v>
      </c>
      <c r="I97" s="456" t="e">
        <f>#REF!/10^3</f>
        <v>#REF!</v>
      </c>
      <c r="J97" s="456" t="e">
        <f>#REF!/10^3</f>
        <v>#REF!</v>
      </c>
      <c r="K97" s="456" t="e">
        <f>#REF!/10^3</f>
        <v>#REF!</v>
      </c>
      <c r="L97" s="456" t="e">
        <f>#REF!/10^3</f>
        <v>#REF!</v>
      </c>
      <c r="M97" s="456" t="e">
        <f>#REF!/10^3</f>
        <v>#REF!</v>
      </c>
      <c r="N97" s="406"/>
      <c r="O97" s="421"/>
      <c r="P97" s="421"/>
      <c r="Q97" s="454"/>
      <c r="R97" s="454"/>
    </row>
    <row r="98" spans="2:18" s="404" customFormat="1" ht="17.399999999999999" hidden="1">
      <c r="B98" s="455"/>
      <c r="C98" s="456"/>
      <c r="D98" s="456"/>
      <c r="E98" s="456"/>
      <c r="F98" s="456"/>
      <c r="G98" s="456"/>
      <c r="H98" s="456"/>
      <c r="I98" s="456"/>
      <c r="J98" s="421"/>
      <c r="K98" s="421"/>
      <c r="L98" s="421"/>
      <c r="M98" s="421"/>
      <c r="O98" s="421"/>
      <c r="P98" s="421"/>
      <c r="Q98" s="454"/>
      <c r="R98" s="454"/>
    </row>
    <row r="99" spans="2:18" hidden="1">
      <c r="B99" s="457"/>
      <c r="C99" s="458"/>
      <c r="D99" s="458"/>
      <c r="E99" s="458"/>
      <c r="F99" s="458"/>
      <c r="G99" s="458"/>
      <c r="H99" s="458"/>
      <c r="I99" s="458"/>
      <c r="J99" s="459"/>
      <c r="K99" s="459"/>
      <c r="L99" s="459"/>
      <c r="M99" s="459"/>
      <c r="O99" s="459"/>
      <c r="P99" s="459"/>
      <c r="Q99" s="460"/>
      <c r="R99" s="460"/>
    </row>
    <row r="100" spans="2:18" hidden="1">
      <c r="B100" s="457"/>
      <c r="C100" s="458"/>
      <c r="D100" s="458"/>
      <c r="E100" s="458"/>
      <c r="F100" s="458"/>
      <c r="G100" s="458"/>
      <c r="H100" s="458"/>
      <c r="I100" s="458"/>
      <c r="J100" s="459"/>
      <c r="K100" s="459"/>
      <c r="L100" s="459"/>
      <c r="M100" s="459"/>
      <c r="O100" s="459"/>
      <c r="P100" s="459"/>
      <c r="Q100" s="460"/>
      <c r="R100" s="460"/>
    </row>
    <row r="101" spans="2:18" hidden="1">
      <c r="B101" s="457"/>
      <c r="C101" s="458"/>
      <c r="D101" s="458"/>
      <c r="E101" s="458"/>
      <c r="F101" s="458"/>
      <c r="G101" s="461"/>
      <c r="H101" s="458"/>
      <c r="I101" s="458"/>
      <c r="J101" s="459"/>
      <c r="K101" s="459"/>
      <c r="L101" s="459"/>
      <c r="M101" s="459"/>
      <c r="O101" s="459"/>
      <c r="P101" s="459"/>
      <c r="Q101" s="460"/>
      <c r="R101" s="460"/>
    </row>
    <row r="102" spans="2:18" hidden="1">
      <c r="B102" s="457"/>
      <c r="C102" s="458"/>
      <c r="D102" s="458"/>
      <c r="E102" s="458"/>
      <c r="F102" s="458"/>
      <c r="G102" s="458"/>
      <c r="H102" s="458"/>
      <c r="I102" s="458"/>
      <c r="J102" s="459"/>
      <c r="K102" s="459"/>
      <c r="L102" s="459"/>
      <c r="M102" s="459"/>
      <c r="O102" s="459"/>
      <c r="P102" s="459"/>
      <c r="Q102" s="460"/>
      <c r="R102" s="460"/>
    </row>
    <row r="103" spans="2:18" hidden="1">
      <c r="B103" s="457"/>
      <c r="C103" s="458"/>
      <c r="D103" s="458"/>
      <c r="E103" s="458"/>
      <c r="F103" s="458"/>
      <c r="G103" s="458"/>
      <c r="H103" s="458"/>
      <c r="I103" s="458"/>
      <c r="J103" s="459"/>
      <c r="K103" s="459"/>
      <c r="L103" s="459"/>
      <c r="M103" s="459"/>
      <c r="O103" s="459"/>
      <c r="P103" s="459"/>
      <c r="Q103" s="460"/>
      <c r="R103" s="460"/>
    </row>
    <row r="104" spans="2:18" hidden="1">
      <c r="B104" s="457"/>
      <c r="C104" s="458"/>
      <c r="D104" s="458"/>
      <c r="E104" s="458"/>
      <c r="F104" s="458"/>
      <c r="G104" s="458"/>
      <c r="H104" s="458"/>
      <c r="I104" s="458"/>
      <c r="J104" s="459"/>
      <c r="K104" s="459"/>
      <c r="L104" s="459"/>
      <c r="M104" s="459"/>
      <c r="O104" s="459"/>
      <c r="P104" s="459"/>
      <c r="Q104" s="460"/>
      <c r="R104" s="460"/>
    </row>
    <row r="105" spans="2:18" hidden="1">
      <c r="B105" s="457"/>
      <c r="C105" s="458"/>
      <c r="D105" s="458"/>
      <c r="E105" s="458"/>
      <c r="F105" s="458"/>
      <c r="G105" s="458"/>
      <c r="H105" s="458"/>
      <c r="I105" s="458"/>
      <c r="J105" s="459"/>
      <c r="K105" s="459"/>
      <c r="L105" s="459"/>
      <c r="M105" s="459"/>
      <c r="O105" s="460"/>
      <c r="P105" s="460"/>
      <c r="Q105" s="460"/>
      <c r="R105" s="460"/>
    </row>
    <row r="106" spans="2:18" hidden="1">
      <c r="B106" s="457"/>
      <c r="C106" s="458"/>
      <c r="D106" s="458"/>
      <c r="E106" s="458"/>
      <c r="F106" s="458"/>
      <c r="G106" s="458"/>
      <c r="H106" s="458"/>
      <c r="I106" s="458"/>
      <c r="J106" s="459"/>
      <c r="K106" s="459"/>
      <c r="L106" s="459"/>
      <c r="M106" s="459"/>
      <c r="O106" s="459"/>
      <c r="P106" s="459"/>
    </row>
    <row r="107" spans="2:18" hidden="1">
      <c r="B107" s="457"/>
      <c r="C107" s="458"/>
      <c r="D107" s="458"/>
      <c r="E107" s="458"/>
      <c r="F107" s="458"/>
      <c r="G107" s="458"/>
      <c r="H107" s="458"/>
      <c r="I107" s="458"/>
      <c r="J107" s="459"/>
      <c r="K107" s="459"/>
      <c r="L107" s="459"/>
      <c r="M107" s="459"/>
    </row>
    <row r="108" spans="2:18" hidden="1">
      <c r="B108" s="457"/>
      <c r="C108" s="458"/>
      <c r="D108" s="458"/>
      <c r="E108" s="458"/>
      <c r="F108" s="458"/>
      <c r="G108" s="458"/>
      <c r="H108" s="458"/>
      <c r="I108" s="458"/>
      <c r="J108" s="459"/>
      <c r="K108" s="459"/>
      <c r="L108" s="459"/>
      <c r="M108" s="459"/>
    </row>
    <row r="109" spans="2:18" hidden="1">
      <c r="B109" s="457"/>
      <c r="C109" s="458"/>
      <c r="D109" s="458"/>
      <c r="E109" s="458"/>
      <c r="F109" s="458"/>
      <c r="G109" s="458"/>
      <c r="H109" s="458"/>
      <c r="I109" s="458"/>
      <c r="J109" s="459"/>
      <c r="K109" s="459"/>
      <c r="L109" s="459"/>
      <c r="M109" s="459"/>
    </row>
    <row r="110" spans="2:18" hidden="1">
      <c r="C110" s="462"/>
      <c r="D110" s="462"/>
      <c r="E110" s="462"/>
      <c r="F110" s="462"/>
      <c r="G110" s="462"/>
      <c r="H110" s="462"/>
      <c r="I110" s="462"/>
    </row>
    <row r="111" spans="2:18" hidden="1">
      <c r="C111" s="462"/>
      <c r="D111" s="462"/>
      <c r="E111" s="462"/>
      <c r="F111" s="462"/>
      <c r="G111" s="462"/>
      <c r="H111" s="462"/>
      <c r="I111" s="462"/>
    </row>
    <row r="112" spans="2:18" hidden="1">
      <c r="C112" s="462"/>
      <c r="D112" s="462"/>
      <c r="E112" s="462"/>
      <c r="F112" s="462"/>
      <c r="G112" s="462"/>
      <c r="H112" s="462"/>
      <c r="I112" s="462"/>
    </row>
    <row r="113" spans="3:9" hidden="1">
      <c r="C113" s="462"/>
      <c r="D113" s="462"/>
      <c r="E113" s="462"/>
      <c r="F113" s="462"/>
      <c r="G113" s="462"/>
      <c r="H113" s="462"/>
      <c r="I113" s="462"/>
    </row>
    <row r="114" spans="3:9" hidden="1">
      <c r="C114" s="462"/>
      <c r="D114" s="462"/>
      <c r="E114" s="462"/>
      <c r="F114" s="462"/>
      <c r="G114" s="462"/>
      <c r="H114" s="462"/>
      <c r="I114" s="462"/>
    </row>
    <row r="115" spans="3:9" hidden="1">
      <c r="C115" s="462"/>
      <c r="D115" s="462"/>
      <c r="E115" s="462"/>
      <c r="F115" s="462"/>
      <c r="G115" s="462"/>
      <c r="H115" s="462"/>
      <c r="I115" s="462"/>
    </row>
    <row r="116" spans="3:9" hidden="1">
      <c r="C116" s="462"/>
      <c r="D116" s="462"/>
      <c r="E116" s="462"/>
      <c r="F116" s="462"/>
      <c r="G116" s="462"/>
      <c r="H116" s="462"/>
      <c r="I116" s="462"/>
    </row>
    <row r="117" spans="3:9" hidden="1">
      <c r="C117" s="462"/>
      <c r="D117" s="462"/>
      <c r="E117" s="462"/>
      <c r="F117" s="462"/>
      <c r="G117" s="462"/>
      <c r="H117" s="462"/>
      <c r="I117" s="462"/>
    </row>
    <row r="118" spans="3:9" hidden="1">
      <c r="C118" s="462"/>
      <c r="D118" s="462"/>
      <c r="E118" s="462"/>
      <c r="F118" s="462"/>
      <c r="G118" s="462"/>
      <c r="H118" s="462"/>
      <c r="I118" s="462"/>
    </row>
    <row r="119" spans="3:9" hidden="1">
      <c r="C119" s="462"/>
      <c r="D119" s="462"/>
      <c r="E119" s="462"/>
      <c r="F119" s="462"/>
      <c r="G119" s="462"/>
      <c r="H119" s="462"/>
      <c r="I119" s="462"/>
    </row>
    <row r="120" spans="3:9" hidden="1">
      <c r="C120" s="462"/>
      <c r="D120" s="462"/>
      <c r="E120" s="462"/>
      <c r="F120" s="462"/>
      <c r="G120" s="462"/>
      <c r="H120" s="462"/>
      <c r="I120" s="462"/>
    </row>
    <row r="121" spans="3:9" hidden="1">
      <c r="C121" s="462"/>
      <c r="D121" s="462"/>
      <c r="E121" s="462"/>
      <c r="F121" s="462"/>
      <c r="G121" s="462"/>
      <c r="H121" s="462"/>
      <c r="I121" s="462"/>
    </row>
    <row r="122" spans="3:9" hidden="1">
      <c r="C122" s="462"/>
      <c r="D122" s="462"/>
      <c r="E122" s="462"/>
      <c r="F122" s="462"/>
      <c r="G122" s="462"/>
      <c r="H122" s="462"/>
      <c r="I122" s="462"/>
    </row>
    <row r="123" spans="3:9" hidden="1">
      <c r="C123" s="462"/>
      <c r="D123" s="462"/>
      <c r="E123" s="462"/>
      <c r="F123" s="462"/>
      <c r="G123" s="462"/>
      <c r="H123" s="462"/>
      <c r="I123" s="462"/>
    </row>
    <row r="124" spans="3:9" hidden="1">
      <c r="C124" s="462"/>
      <c r="D124" s="462"/>
      <c r="E124" s="462"/>
      <c r="F124" s="462"/>
      <c r="G124" s="462"/>
      <c r="H124" s="462"/>
      <c r="I124" s="462"/>
    </row>
    <row r="125" spans="3:9" hidden="1">
      <c r="C125" s="462"/>
      <c r="D125" s="462"/>
      <c r="E125" s="462"/>
      <c r="F125" s="462"/>
      <c r="G125" s="462"/>
      <c r="H125" s="462"/>
      <c r="I125" s="462"/>
    </row>
    <row r="126" spans="3:9" hidden="1">
      <c r="C126" s="462"/>
      <c r="D126" s="462"/>
      <c r="E126" s="462"/>
      <c r="F126" s="462"/>
      <c r="G126" s="462"/>
      <c r="H126" s="462"/>
      <c r="I126" s="462"/>
    </row>
    <row r="127" spans="3:9" hidden="1">
      <c r="C127" s="462"/>
      <c r="D127" s="462"/>
      <c r="E127" s="462"/>
      <c r="F127" s="462"/>
      <c r="G127" s="462"/>
      <c r="H127" s="462"/>
      <c r="I127" s="462"/>
    </row>
    <row r="128" spans="3:9" hidden="1">
      <c r="C128" s="462"/>
      <c r="D128" s="462"/>
      <c r="E128" s="462"/>
      <c r="F128" s="462"/>
      <c r="G128" s="462"/>
      <c r="H128" s="462"/>
      <c r="I128" s="462"/>
    </row>
    <row r="129" spans="3:9" hidden="1">
      <c r="C129" s="462"/>
      <c r="D129" s="462"/>
      <c r="E129" s="462"/>
      <c r="F129" s="462"/>
      <c r="G129" s="462"/>
      <c r="H129" s="462"/>
      <c r="I129" s="462"/>
    </row>
    <row r="130" spans="3:9" hidden="1">
      <c r="C130" s="462"/>
      <c r="D130" s="462"/>
      <c r="E130" s="462"/>
      <c r="F130" s="462"/>
      <c r="G130" s="462"/>
      <c r="H130" s="462"/>
      <c r="I130" s="462"/>
    </row>
    <row r="131" spans="3:9" hidden="1">
      <c r="C131" s="462"/>
      <c r="D131" s="462"/>
      <c r="E131" s="462"/>
      <c r="F131" s="462"/>
      <c r="G131" s="462"/>
      <c r="H131" s="462"/>
      <c r="I131" s="462"/>
    </row>
    <row r="132" spans="3:9" hidden="1">
      <c r="C132" s="462"/>
      <c r="D132" s="462"/>
      <c r="E132" s="462"/>
      <c r="F132" s="462"/>
      <c r="G132" s="462"/>
      <c r="H132" s="462"/>
      <c r="I132" s="462"/>
    </row>
    <row r="133" spans="3:9" hidden="1">
      <c r="C133" s="462"/>
      <c r="D133" s="462"/>
      <c r="E133" s="462"/>
      <c r="F133" s="462"/>
      <c r="G133" s="462"/>
      <c r="H133" s="462"/>
      <c r="I133" s="462"/>
    </row>
    <row r="134" spans="3:9" hidden="1">
      <c r="C134" s="462"/>
      <c r="D134" s="462"/>
      <c r="E134" s="462"/>
      <c r="F134" s="462"/>
      <c r="G134" s="462"/>
      <c r="H134" s="462"/>
      <c r="I134" s="462"/>
    </row>
    <row r="135" spans="3:9" hidden="1">
      <c r="C135" s="462"/>
      <c r="D135" s="462"/>
      <c r="E135" s="462"/>
      <c r="F135" s="462"/>
      <c r="G135" s="462"/>
      <c r="H135" s="462"/>
      <c r="I135" s="462"/>
    </row>
    <row r="136" spans="3:9" hidden="1">
      <c r="C136" s="462"/>
      <c r="D136" s="462"/>
      <c r="E136" s="462"/>
      <c r="F136" s="462"/>
      <c r="G136" s="462"/>
      <c r="H136" s="462"/>
      <c r="I136" s="462"/>
    </row>
    <row r="137" spans="3:9" hidden="1">
      <c r="C137" s="462"/>
      <c r="D137" s="462"/>
      <c r="E137" s="462"/>
      <c r="F137" s="462"/>
      <c r="G137" s="462"/>
      <c r="H137" s="462"/>
      <c r="I137" s="462"/>
    </row>
    <row r="138" spans="3:9" hidden="1">
      <c r="C138" s="462"/>
      <c r="D138" s="462"/>
      <c r="E138" s="462"/>
      <c r="F138" s="462"/>
      <c r="G138" s="462"/>
      <c r="H138" s="462"/>
      <c r="I138" s="462"/>
    </row>
    <row r="139" spans="3:9" hidden="1">
      <c r="C139" s="462"/>
      <c r="D139" s="462"/>
      <c r="E139" s="462"/>
      <c r="F139" s="462"/>
      <c r="G139" s="462"/>
      <c r="H139" s="462"/>
      <c r="I139" s="462"/>
    </row>
    <row r="140" spans="3:9" hidden="1">
      <c r="C140" s="462"/>
      <c r="D140" s="462"/>
      <c r="E140" s="462"/>
      <c r="F140" s="462"/>
      <c r="G140" s="462"/>
      <c r="H140" s="462"/>
      <c r="I140" s="462"/>
    </row>
    <row r="141" spans="3:9" hidden="1">
      <c r="C141" s="462"/>
      <c r="D141" s="462"/>
      <c r="E141" s="462"/>
      <c r="F141" s="462"/>
      <c r="G141" s="462"/>
      <c r="H141" s="462"/>
      <c r="I141" s="462"/>
    </row>
    <row r="142" spans="3:9" hidden="1">
      <c r="C142" s="462"/>
      <c r="D142" s="462"/>
      <c r="E142" s="462"/>
      <c r="F142" s="462"/>
      <c r="G142" s="462"/>
      <c r="H142" s="462"/>
      <c r="I142" s="462"/>
    </row>
    <row r="143" spans="3:9" hidden="1">
      <c r="C143" s="462"/>
      <c r="D143" s="462"/>
      <c r="E143" s="462"/>
      <c r="F143" s="462"/>
      <c r="G143" s="462"/>
      <c r="H143" s="462"/>
      <c r="I143" s="462"/>
    </row>
    <row r="144" spans="3:9" hidden="1">
      <c r="C144" s="462"/>
      <c r="D144" s="462"/>
      <c r="E144" s="462"/>
      <c r="F144" s="462"/>
      <c r="G144" s="462"/>
      <c r="H144" s="462"/>
      <c r="I144" s="462"/>
    </row>
    <row r="145" spans="3:9" hidden="1">
      <c r="C145" s="462"/>
      <c r="D145" s="462"/>
      <c r="E145" s="462"/>
      <c r="F145" s="462"/>
      <c r="G145" s="462"/>
      <c r="H145" s="462"/>
      <c r="I145" s="462"/>
    </row>
    <row r="146" spans="3:9" hidden="1">
      <c r="C146" s="462"/>
      <c r="D146" s="462"/>
      <c r="E146" s="462"/>
      <c r="F146" s="462"/>
      <c r="G146" s="462"/>
      <c r="H146" s="462"/>
      <c r="I146" s="462"/>
    </row>
    <row r="147" spans="3:9" hidden="1">
      <c r="C147" s="462"/>
      <c r="D147" s="462"/>
      <c r="E147" s="462"/>
      <c r="F147" s="462"/>
      <c r="G147" s="462"/>
      <c r="H147" s="462"/>
      <c r="I147" s="462"/>
    </row>
    <row r="148" spans="3:9" hidden="1">
      <c r="C148" s="462"/>
      <c r="D148" s="462"/>
      <c r="E148" s="462"/>
      <c r="F148" s="462"/>
      <c r="G148" s="462"/>
      <c r="H148" s="462"/>
      <c r="I148" s="462"/>
    </row>
    <row r="149" spans="3:9" hidden="1">
      <c r="C149" s="462"/>
      <c r="D149" s="462"/>
      <c r="E149" s="462"/>
      <c r="F149" s="462"/>
      <c r="G149" s="462"/>
      <c r="H149" s="462"/>
      <c r="I149" s="462"/>
    </row>
    <row r="150" spans="3:9" hidden="1">
      <c r="C150" s="462"/>
      <c r="D150" s="462"/>
      <c r="E150" s="462"/>
      <c r="F150" s="462"/>
      <c r="G150" s="462"/>
      <c r="H150" s="462"/>
      <c r="I150" s="462"/>
    </row>
    <row r="151" spans="3:9" hidden="1">
      <c r="C151" s="462"/>
      <c r="D151" s="462"/>
      <c r="E151" s="462"/>
      <c r="F151" s="462"/>
      <c r="G151" s="462"/>
      <c r="H151" s="462"/>
      <c r="I151" s="462"/>
    </row>
    <row r="152" spans="3:9" hidden="1">
      <c r="C152" s="462"/>
      <c r="D152" s="462"/>
      <c r="E152" s="462"/>
      <c r="F152" s="462"/>
      <c r="G152" s="462"/>
      <c r="H152" s="462"/>
      <c r="I152" s="462"/>
    </row>
    <row r="153" spans="3:9" hidden="1">
      <c r="C153" s="462"/>
      <c r="D153" s="462"/>
      <c r="E153" s="462"/>
      <c r="F153" s="462"/>
      <c r="G153" s="462"/>
      <c r="H153" s="462"/>
      <c r="I153" s="462"/>
    </row>
    <row r="154" spans="3:9" hidden="1">
      <c r="C154" s="462"/>
      <c r="D154" s="462"/>
      <c r="E154" s="462"/>
      <c r="F154" s="462"/>
      <c r="G154" s="462"/>
      <c r="H154" s="462"/>
      <c r="I154" s="462"/>
    </row>
    <row r="155" spans="3:9" hidden="1">
      <c r="C155" s="462"/>
      <c r="D155" s="462"/>
      <c r="E155" s="462"/>
      <c r="F155" s="462"/>
      <c r="G155" s="462"/>
      <c r="H155" s="462"/>
      <c r="I155" s="462"/>
    </row>
    <row r="156" spans="3:9" hidden="1">
      <c r="C156" s="462"/>
      <c r="D156" s="462"/>
      <c r="E156" s="462"/>
      <c r="F156" s="462"/>
      <c r="G156" s="462"/>
      <c r="H156" s="462"/>
      <c r="I156" s="462"/>
    </row>
    <row r="157" spans="3:9" hidden="1">
      <c r="C157" s="462"/>
      <c r="D157" s="462"/>
      <c r="E157" s="462"/>
      <c r="F157" s="462"/>
      <c r="G157" s="462"/>
      <c r="H157" s="462"/>
      <c r="I157" s="462"/>
    </row>
    <row r="158" spans="3:9" hidden="1">
      <c r="C158" s="462"/>
      <c r="D158" s="462"/>
      <c r="E158" s="462"/>
      <c r="F158" s="462"/>
      <c r="G158" s="462"/>
      <c r="H158" s="462"/>
      <c r="I158" s="462"/>
    </row>
    <row r="159" spans="3:9" hidden="1">
      <c r="C159" s="462"/>
      <c r="D159" s="462"/>
      <c r="E159" s="462"/>
      <c r="F159" s="462"/>
      <c r="G159" s="462"/>
      <c r="H159" s="462"/>
      <c r="I159" s="462"/>
    </row>
    <row r="160" spans="3:9" hidden="1">
      <c r="C160" s="462"/>
      <c r="D160" s="462"/>
      <c r="E160" s="462"/>
      <c r="F160" s="462"/>
      <c r="G160" s="462"/>
      <c r="H160" s="462"/>
      <c r="I160" s="462"/>
    </row>
    <row r="161" spans="3:9" hidden="1">
      <c r="C161" s="462"/>
      <c r="D161" s="462"/>
      <c r="E161" s="462"/>
      <c r="F161" s="462"/>
      <c r="G161" s="462"/>
      <c r="H161" s="462"/>
      <c r="I161" s="462"/>
    </row>
    <row r="162" spans="3:9" hidden="1">
      <c r="C162" s="462"/>
      <c r="D162" s="462"/>
      <c r="E162" s="462"/>
      <c r="F162" s="462"/>
      <c r="G162" s="462"/>
      <c r="H162" s="462"/>
      <c r="I162" s="462"/>
    </row>
    <row r="163" spans="3:9" hidden="1">
      <c r="C163" s="462"/>
      <c r="D163" s="462"/>
      <c r="E163" s="462"/>
      <c r="F163" s="462"/>
      <c r="G163" s="462"/>
      <c r="H163" s="462"/>
      <c r="I163" s="462"/>
    </row>
    <row r="164" spans="3:9" hidden="1">
      <c r="C164" s="462"/>
      <c r="D164" s="462"/>
      <c r="E164" s="462"/>
      <c r="F164" s="462"/>
      <c r="G164" s="462"/>
      <c r="H164" s="462"/>
      <c r="I164" s="462"/>
    </row>
    <row r="165" spans="3:9" hidden="1">
      <c r="C165" s="462"/>
      <c r="D165" s="462"/>
      <c r="E165" s="462"/>
      <c r="F165" s="462"/>
      <c r="G165" s="462"/>
      <c r="H165" s="462"/>
      <c r="I165" s="462"/>
    </row>
    <row r="166" spans="3:9" hidden="1">
      <c r="C166" s="462"/>
      <c r="D166" s="462"/>
      <c r="E166" s="462"/>
      <c r="F166" s="462"/>
      <c r="G166" s="462"/>
      <c r="H166" s="462"/>
      <c r="I166" s="462"/>
    </row>
    <row r="167" spans="3:9" hidden="1">
      <c r="C167" s="462"/>
      <c r="D167" s="462"/>
      <c r="E167" s="462"/>
      <c r="F167" s="462"/>
      <c r="G167" s="462"/>
      <c r="H167" s="462"/>
      <c r="I167" s="462"/>
    </row>
    <row r="168" spans="3:9" hidden="1">
      <c r="C168" s="462"/>
      <c r="D168" s="462"/>
      <c r="E168" s="462"/>
      <c r="F168" s="462"/>
      <c r="G168" s="462"/>
      <c r="H168" s="462"/>
      <c r="I168" s="462"/>
    </row>
    <row r="169" spans="3:9" hidden="1">
      <c r="C169" s="462"/>
      <c r="D169" s="462"/>
      <c r="E169" s="462"/>
      <c r="F169" s="462"/>
      <c r="G169" s="462"/>
      <c r="H169" s="462"/>
      <c r="I169" s="462"/>
    </row>
    <row r="170" spans="3:9" hidden="1">
      <c r="C170" s="462"/>
      <c r="D170" s="462"/>
      <c r="E170" s="462"/>
      <c r="F170" s="462"/>
      <c r="G170" s="462"/>
      <c r="H170" s="462"/>
      <c r="I170" s="462"/>
    </row>
    <row r="171" spans="3:9" hidden="1">
      <c r="C171" s="462"/>
      <c r="D171" s="462"/>
      <c r="E171" s="462"/>
      <c r="F171" s="462"/>
      <c r="G171" s="462"/>
      <c r="H171" s="462"/>
      <c r="I171" s="462"/>
    </row>
    <row r="172" spans="3:9" hidden="1">
      <c r="C172" s="462"/>
      <c r="D172" s="462"/>
      <c r="E172" s="462"/>
      <c r="F172" s="462"/>
      <c r="G172" s="462"/>
      <c r="H172" s="462"/>
      <c r="I172" s="462"/>
    </row>
    <row r="173" spans="3:9" hidden="1">
      <c r="C173" s="462"/>
      <c r="D173" s="462"/>
      <c r="E173" s="462"/>
      <c r="F173" s="462"/>
      <c r="G173" s="462"/>
      <c r="H173" s="462"/>
      <c r="I173" s="462"/>
    </row>
    <row r="174" spans="3:9" hidden="1">
      <c r="C174" s="462"/>
      <c r="D174" s="462"/>
      <c r="E174" s="462"/>
      <c r="F174" s="462"/>
      <c r="G174" s="462"/>
      <c r="H174" s="462"/>
      <c r="I174" s="462"/>
    </row>
    <row r="175" spans="3:9" hidden="1">
      <c r="C175" s="462"/>
      <c r="D175" s="462"/>
      <c r="E175" s="462"/>
      <c r="F175" s="462"/>
      <c r="G175" s="462"/>
      <c r="H175" s="462"/>
      <c r="I175" s="462"/>
    </row>
    <row r="176" spans="3:9" hidden="1">
      <c r="C176" s="462"/>
      <c r="D176" s="462"/>
      <c r="E176" s="462"/>
      <c r="F176" s="462"/>
      <c r="G176" s="462"/>
      <c r="H176" s="462"/>
      <c r="I176" s="462"/>
    </row>
    <row r="177" spans="3:9" hidden="1">
      <c r="C177" s="462"/>
      <c r="D177" s="462"/>
      <c r="E177" s="462"/>
      <c r="F177" s="462"/>
      <c r="G177" s="462"/>
      <c r="H177" s="462"/>
      <c r="I177" s="462"/>
    </row>
    <row r="178" spans="3:9" hidden="1">
      <c r="C178" s="462"/>
      <c r="D178" s="462"/>
      <c r="E178" s="462"/>
      <c r="F178" s="462"/>
      <c r="G178" s="462"/>
      <c r="H178" s="462"/>
      <c r="I178" s="462"/>
    </row>
    <row r="179" spans="3:9" hidden="1">
      <c r="C179" s="462"/>
      <c r="D179" s="462"/>
      <c r="E179" s="462"/>
      <c r="F179" s="462"/>
      <c r="G179" s="462"/>
      <c r="H179" s="462"/>
      <c r="I179" s="462"/>
    </row>
    <row r="180" spans="3:9" hidden="1">
      <c r="C180" s="462"/>
      <c r="D180" s="462"/>
      <c r="E180" s="462"/>
      <c r="F180" s="462"/>
      <c r="G180" s="462"/>
      <c r="H180" s="462"/>
      <c r="I180" s="462"/>
    </row>
    <row r="181" spans="3:9" hidden="1">
      <c r="C181" s="462"/>
      <c r="D181" s="462"/>
      <c r="E181" s="462"/>
      <c r="F181" s="462"/>
      <c r="G181" s="462"/>
      <c r="H181" s="462"/>
      <c r="I181" s="462"/>
    </row>
    <row r="182" spans="3:9" hidden="1">
      <c r="C182" s="462"/>
      <c r="D182" s="462"/>
      <c r="E182" s="462"/>
      <c r="F182" s="462"/>
      <c r="G182" s="462"/>
      <c r="H182" s="462"/>
      <c r="I182" s="462"/>
    </row>
    <row r="183" spans="3:9" hidden="1">
      <c r="C183" s="462"/>
      <c r="D183" s="462"/>
      <c r="E183" s="462"/>
      <c r="F183" s="462"/>
      <c r="G183" s="462"/>
      <c r="H183" s="462"/>
      <c r="I183" s="462"/>
    </row>
    <row r="184" spans="3:9" hidden="1">
      <c r="C184" s="462"/>
      <c r="D184" s="462"/>
      <c r="E184" s="462"/>
      <c r="F184" s="462"/>
      <c r="G184" s="462"/>
      <c r="H184" s="462"/>
      <c r="I184" s="462"/>
    </row>
    <row r="185" spans="3:9" hidden="1">
      <c r="C185" s="462"/>
      <c r="D185" s="462"/>
      <c r="E185" s="462"/>
      <c r="F185" s="462"/>
      <c r="G185" s="462"/>
      <c r="H185" s="462"/>
      <c r="I185" s="462"/>
    </row>
    <row r="186" spans="3:9" hidden="1">
      <c r="C186" s="462"/>
      <c r="D186" s="462"/>
      <c r="E186" s="462"/>
      <c r="F186" s="462"/>
      <c r="G186" s="462"/>
      <c r="H186" s="462"/>
      <c r="I186" s="462"/>
    </row>
    <row r="187" spans="3:9" hidden="1">
      <c r="C187" s="462"/>
      <c r="D187" s="462"/>
      <c r="E187" s="462"/>
      <c r="F187" s="462"/>
      <c r="G187" s="462"/>
      <c r="H187" s="462"/>
      <c r="I187" s="462"/>
    </row>
    <row r="188" spans="3:9" hidden="1">
      <c r="C188" s="462"/>
      <c r="D188" s="462"/>
      <c r="E188" s="462"/>
      <c r="F188" s="462"/>
      <c r="G188" s="462"/>
      <c r="H188" s="462"/>
      <c r="I188" s="462"/>
    </row>
    <row r="189" spans="3:9" hidden="1">
      <c r="C189" s="462"/>
      <c r="D189" s="462"/>
      <c r="E189" s="462"/>
      <c r="F189" s="462"/>
      <c r="G189" s="462"/>
      <c r="H189" s="462"/>
      <c r="I189" s="462"/>
    </row>
    <row r="190" spans="3:9" hidden="1">
      <c r="C190" s="462"/>
      <c r="D190" s="462"/>
      <c r="E190" s="462"/>
      <c r="F190" s="462"/>
      <c r="G190" s="462"/>
      <c r="H190" s="462"/>
      <c r="I190" s="462"/>
    </row>
    <row r="191" spans="3:9" hidden="1">
      <c r="C191" s="462"/>
      <c r="D191" s="462"/>
      <c r="E191" s="462"/>
      <c r="F191" s="462"/>
      <c r="G191" s="462"/>
      <c r="H191" s="462"/>
      <c r="I191" s="462"/>
    </row>
    <row r="192" spans="3:9" hidden="1">
      <c r="C192" s="462"/>
      <c r="D192" s="462"/>
      <c r="E192" s="462"/>
      <c r="F192" s="462"/>
      <c r="G192" s="462"/>
      <c r="H192" s="462"/>
      <c r="I192" s="462"/>
    </row>
    <row r="193" spans="3:9" hidden="1">
      <c r="C193" s="462"/>
      <c r="D193" s="462"/>
      <c r="E193" s="462"/>
      <c r="F193" s="462"/>
      <c r="G193" s="462"/>
      <c r="H193" s="462"/>
      <c r="I193" s="462"/>
    </row>
  </sheetData>
  <sheetProtection algorithmName="SHA-512" hashValue="DzjbJ3XnkkMvb/U/5nLVJ6pTlsq+cU8i71IW5FqPJicdBNSXVRIIOe3zYonMcxyxGKVEbGfanm5W3QQzx91EFw==" saltValue="zj0RvBv4zUch5BlpvgPkqQ==" spinCount="100000" sheet="1" objects="1" scenarios="1" selectLockedCells="1"/>
  <phoneticPr fontId="5" type="noConversion"/>
  <dataValidations count="5">
    <dataValidation allowBlank="1" showErrorMessage="1" promptTitle="Уведомление для инвесторов " prompt="Дата расчитывается в зависимости от раунда (даты начала каждого раунда см. на листе с моделью)_x000a_" sqref="D15" xr:uid="{B902B4D9-E446-4FA2-9EE4-FD45103DEE1A}"/>
    <dataValidation type="whole" allowBlank="1" showInputMessage="1" showErrorMessage="1" promptTitle="Уведомление для инвесторов " prompt="Если вы инвестируете в 1ом раунде, то сумма инвестиций не должна быть меньше 5 млн руб." sqref="D19" xr:uid="{2666AB80-E42F-42E4-AD4A-2D51EF75EFDE}">
      <formula1>115000</formula1>
      <formula2>210000000</formula2>
    </dataValidation>
    <dataValidation type="list" allowBlank="1" showInputMessage="1" showErrorMessage="1" sqref="D16" xr:uid="{952A8BEA-3B72-45F1-A08D-C5D3C3D4CABF}">
      <formula1>$L$16:$L$19</formula1>
    </dataValidation>
    <dataValidation type="list" allowBlank="1" showInputMessage="1" showErrorMessage="1" sqref="D18" xr:uid="{471B36C0-0047-4B9B-84AA-BA082F0417EB}">
      <formula1>$D$25:$D$27</formula1>
    </dataValidation>
    <dataValidation type="whole" allowBlank="1" showInputMessage="1" showErrorMessage="1" sqref="D17" xr:uid="{B1059035-5399-4E77-8872-79CB0D7E328E}">
      <formula1>1</formula1>
      <formula2>10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28106-E03D-42B1-8A3A-8F0ED2A9EF99}">
  <dimension ref="C2:AC21"/>
  <sheetViews>
    <sheetView topLeftCell="C1" workbookViewId="0">
      <selection activeCell="N23" sqref="N23"/>
    </sheetView>
  </sheetViews>
  <sheetFormatPr defaultRowHeight="13.2"/>
  <cols>
    <col min="5" max="5" width="9" bestFit="1" customWidth="1"/>
    <col min="6" max="6" width="9.109375" bestFit="1" customWidth="1"/>
    <col min="7" max="7" width="9" bestFit="1" customWidth="1"/>
    <col min="11" max="11" width="9.109375" bestFit="1" customWidth="1"/>
    <col min="12" max="12" width="9" bestFit="1" customWidth="1"/>
    <col min="14" max="15" width="9" bestFit="1" customWidth="1"/>
    <col min="17" max="18" width="9" bestFit="1" customWidth="1"/>
    <col min="20" max="20" width="13.77734375" bestFit="1" customWidth="1"/>
    <col min="22" max="22" width="9" bestFit="1" customWidth="1"/>
    <col min="23" max="23" width="4.109375" customWidth="1"/>
    <col min="24" max="25" width="9" bestFit="1" customWidth="1"/>
  </cols>
  <sheetData>
    <row r="2" spans="3:29">
      <c r="C2" s="191"/>
    </row>
    <row r="14" spans="3:29">
      <c r="T14" s="202" t="s">
        <v>254</v>
      </c>
      <c r="V14" s="191" t="s">
        <v>255</v>
      </c>
    </row>
    <row r="15" spans="3:29" s="99" customFormat="1">
      <c r="E15" s="99">
        <v>30</v>
      </c>
      <c r="F15" s="99">
        <f>E15*G15</f>
        <v>209070</v>
      </c>
      <c r="G15" s="99">
        <v>6969</v>
      </c>
      <c r="K15" s="99">
        <f>L15*E15</f>
        <v>207720</v>
      </c>
      <c r="L15" s="99">
        <v>6924</v>
      </c>
      <c r="N15" s="99">
        <v>170</v>
      </c>
      <c r="O15" s="99">
        <v>170</v>
      </c>
      <c r="Q15" s="99">
        <f t="shared" ref="Q15:R17" si="0">N15*$E15</f>
        <v>5100</v>
      </c>
      <c r="R15" s="99">
        <f t="shared" si="0"/>
        <v>5100</v>
      </c>
      <c r="T15" s="99">
        <f>Q15+R15+K15</f>
        <v>217920</v>
      </c>
      <c r="V15" s="99">
        <f>(K15-F15+O15*E15+N15*E15)</f>
        <v>8850</v>
      </c>
      <c r="W15" s="203">
        <f>T15-F15-V15</f>
        <v>0</v>
      </c>
      <c r="X15" s="200">
        <f>AVERAGE(N15:O15)/G15*4</f>
        <v>9.7574974888793228E-2</v>
      </c>
      <c r="Y15" s="200">
        <f>(T15/F15)^(1/0.38)-1</f>
        <v>0.11527651019685869</v>
      </c>
      <c r="AA15" s="205">
        <f>0.38*4</f>
        <v>1.52</v>
      </c>
      <c r="AB15" s="205">
        <f>AA15+1</f>
        <v>2.52</v>
      </c>
      <c r="AC15" s="102">
        <f>AB15/4</f>
        <v>0.63</v>
      </c>
    </row>
    <row r="16" spans="3:29" s="99" customFormat="1">
      <c r="E16" s="99">
        <v>84</v>
      </c>
      <c r="F16" s="99">
        <f t="shared" ref="F16:F20" si="1">E16*G16</f>
        <v>164052</v>
      </c>
      <c r="G16" s="99">
        <v>1953</v>
      </c>
      <c r="K16" s="99">
        <f t="shared" ref="K16:K20" si="2">L16*E16</f>
        <v>170856</v>
      </c>
      <c r="L16" s="99">
        <v>2034</v>
      </c>
      <c r="N16" s="99">
        <v>30</v>
      </c>
      <c r="O16" s="99">
        <v>30</v>
      </c>
      <c r="Q16" s="99">
        <f t="shared" si="0"/>
        <v>2520</v>
      </c>
      <c r="R16" s="99">
        <f t="shared" si="0"/>
        <v>2520</v>
      </c>
      <c r="T16" s="99">
        <f>Q16+R16+K16</f>
        <v>175896</v>
      </c>
      <c r="V16" s="99">
        <f t="shared" ref="V16:V20" si="3">(K16-F16+O16*E16+N16*E16)</f>
        <v>11844</v>
      </c>
      <c r="W16" s="203">
        <f t="shared" ref="W16:W20" si="4">T16-F16-V16</f>
        <v>0</v>
      </c>
      <c r="X16" s="200">
        <f t="shared" ref="X16:X20" si="5">AVERAGE(N16:O16)/G16*4</f>
        <v>6.1443932411674347E-2</v>
      </c>
      <c r="Y16" s="200">
        <f t="shared" ref="Y16:Y19" si="6">(T16/F16)^(1/0.38)-1</f>
        <v>0.20135002927706114</v>
      </c>
    </row>
    <row r="17" spans="5:25" s="99" customFormat="1">
      <c r="E17" s="99">
        <v>13</v>
      </c>
      <c r="F17" s="99">
        <f t="shared" si="1"/>
        <v>142467</v>
      </c>
      <c r="G17" s="99">
        <v>10959</v>
      </c>
      <c r="K17" s="99">
        <f t="shared" si="2"/>
        <v>143000</v>
      </c>
      <c r="L17" s="99">
        <v>11000</v>
      </c>
      <c r="N17" s="99">
        <v>150</v>
      </c>
      <c r="O17" s="99">
        <v>250</v>
      </c>
      <c r="Q17" s="99">
        <f t="shared" si="0"/>
        <v>1950</v>
      </c>
      <c r="R17" s="99">
        <f t="shared" si="0"/>
        <v>3250</v>
      </c>
      <c r="T17" s="99">
        <f>Q17+R17+K17</f>
        <v>148200</v>
      </c>
      <c r="V17" s="99">
        <f t="shared" si="3"/>
        <v>5733</v>
      </c>
      <c r="W17" s="203">
        <f t="shared" si="4"/>
        <v>0</v>
      </c>
      <c r="X17" s="200">
        <f t="shared" si="5"/>
        <v>7.2999361255589007E-2</v>
      </c>
      <c r="Y17" s="200">
        <f t="shared" si="6"/>
        <v>0.10940284367721076</v>
      </c>
    </row>
    <row r="18" spans="5:25" s="99" customFormat="1">
      <c r="E18" s="99">
        <v>13</v>
      </c>
      <c r="F18" s="99">
        <f t="shared" si="1"/>
        <v>163098</v>
      </c>
      <c r="G18" s="99">
        <v>12546</v>
      </c>
      <c r="K18" s="99">
        <f t="shared" si="2"/>
        <v>168168</v>
      </c>
      <c r="L18" s="99">
        <v>12936</v>
      </c>
      <c r="N18" s="99">
        <v>180</v>
      </c>
      <c r="O18" s="99">
        <v>180</v>
      </c>
      <c r="Q18" s="99">
        <f>N18*$E18</f>
        <v>2340</v>
      </c>
      <c r="R18" s="99">
        <f t="shared" ref="R18:R20" si="7">O18*$E18</f>
        <v>2340</v>
      </c>
      <c r="T18" s="99">
        <f>Q18+R18+K18</f>
        <v>172848</v>
      </c>
      <c r="V18" s="99">
        <f t="shared" si="3"/>
        <v>9750</v>
      </c>
      <c r="W18" s="203">
        <f t="shared" si="4"/>
        <v>0</v>
      </c>
      <c r="X18" s="200">
        <f t="shared" si="5"/>
        <v>5.7388809182209469E-2</v>
      </c>
      <c r="Y18" s="200">
        <f t="shared" si="6"/>
        <v>0.16508380750952978</v>
      </c>
    </row>
    <row r="19" spans="5:25" s="99" customFormat="1">
      <c r="E19" s="99">
        <v>9</v>
      </c>
      <c r="F19" s="99">
        <f t="shared" si="1"/>
        <v>115443</v>
      </c>
      <c r="G19" s="99">
        <v>12827</v>
      </c>
      <c r="K19" s="99">
        <f t="shared" si="2"/>
        <v>126000</v>
      </c>
      <c r="L19" s="99">
        <v>14000</v>
      </c>
      <c r="N19" s="99">
        <v>20</v>
      </c>
      <c r="O19" s="99">
        <v>30</v>
      </c>
      <c r="Q19" s="99">
        <f>N19*$E19</f>
        <v>180</v>
      </c>
      <c r="R19" s="99">
        <f t="shared" si="7"/>
        <v>270</v>
      </c>
      <c r="T19" s="99">
        <f>Q19+R19+K19</f>
        <v>126450</v>
      </c>
      <c r="V19" s="99">
        <f t="shared" si="3"/>
        <v>11007</v>
      </c>
      <c r="W19" s="203">
        <f t="shared" si="4"/>
        <v>0</v>
      </c>
      <c r="X19" s="200">
        <f t="shared" si="5"/>
        <v>7.7960551960707886E-3</v>
      </c>
      <c r="Y19" s="200">
        <f t="shared" si="6"/>
        <v>0.27081456266560333</v>
      </c>
    </row>
    <row r="20" spans="5:25" s="99" customFormat="1">
      <c r="E20" s="99">
        <v>18</v>
      </c>
      <c r="F20" s="99">
        <f t="shared" si="1"/>
        <v>207000</v>
      </c>
      <c r="G20" s="99">
        <v>11500</v>
      </c>
      <c r="K20" s="99">
        <f t="shared" si="2"/>
        <v>216000</v>
      </c>
      <c r="L20" s="99">
        <v>12000</v>
      </c>
      <c r="N20" s="99">
        <v>0</v>
      </c>
      <c r="O20" s="99">
        <v>0</v>
      </c>
      <c r="Q20" s="99">
        <f t="shared" ref="Q20" si="8">N20*$E20</f>
        <v>0</v>
      </c>
      <c r="R20" s="99">
        <f t="shared" si="7"/>
        <v>0</v>
      </c>
      <c r="T20" s="99">
        <f t="shared" ref="T20" si="9">Q20+R20+K20</f>
        <v>216000</v>
      </c>
      <c r="V20" s="99">
        <f t="shared" si="3"/>
        <v>9000</v>
      </c>
      <c r="W20" s="203">
        <f t="shared" si="4"/>
        <v>0</v>
      </c>
      <c r="X20" s="200">
        <f t="shared" si="5"/>
        <v>0</v>
      </c>
      <c r="Y20" s="200">
        <f>(T20/F20)^(1/0.38)-1</f>
        <v>0.11851172570473789</v>
      </c>
    </row>
    <row r="21" spans="5:25" s="99" customFormat="1">
      <c r="F21" s="201">
        <f>SUM(F15:F20)</f>
        <v>1001130</v>
      </c>
      <c r="K21" s="201">
        <f>SUM(K15:K20)</f>
        <v>1031744</v>
      </c>
      <c r="Q21" s="201">
        <f>SUM(Q15:Q20)</f>
        <v>12090</v>
      </c>
      <c r="R21" s="201">
        <f>SUM(R15:R20)</f>
        <v>13480</v>
      </c>
      <c r="T21" s="201">
        <f>SUM(T15:T20)</f>
        <v>1057314</v>
      </c>
      <c r="V21" s="201">
        <f>SUM(V15:V20)</f>
        <v>56184</v>
      </c>
      <c r="X21" s="130"/>
      <c r="Y21" s="204">
        <f>(T21/F21)^(1/0.38)-1</f>
        <v>0.15452666009579352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83FB9-92F4-4A23-8984-08637F61EC52}">
  <dimension ref="D2:R45"/>
  <sheetViews>
    <sheetView topLeftCell="A28" workbookViewId="0">
      <selection activeCell="E42" sqref="E42"/>
    </sheetView>
  </sheetViews>
  <sheetFormatPr defaultRowHeight="13.2"/>
  <cols>
    <col min="4" max="4" width="13.6640625" customWidth="1"/>
    <col min="5" max="5" width="12" customWidth="1"/>
    <col min="6" max="15" width="10.33203125" bestFit="1" customWidth="1"/>
  </cols>
  <sheetData>
    <row r="2" spans="4:18">
      <c r="D2" s="97" t="e">
        <f>'Перекресток - Совхоз Ленина'!#REF!</f>
        <v>#REF!</v>
      </c>
    </row>
    <row r="3" spans="4:18">
      <c r="E3">
        <v>0</v>
      </c>
      <c r="F3">
        <v>1</v>
      </c>
      <c r="G3">
        <v>2</v>
      </c>
      <c r="H3">
        <v>3</v>
      </c>
      <c r="I3">
        <v>4</v>
      </c>
      <c r="J3">
        <v>5</v>
      </c>
      <c r="K3">
        <v>6</v>
      </c>
      <c r="L3">
        <v>7</v>
      </c>
      <c r="M3">
        <v>8</v>
      </c>
      <c r="N3">
        <v>9</v>
      </c>
      <c r="O3">
        <v>10</v>
      </c>
    </row>
    <row r="4" spans="4:18">
      <c r="E4" t="s">
        <v>86</v>
      </c>
      <c r="F4" s="97" t="e">
        <f>EOMONTH(D2,12)</f>
        <v>#REF!</v>
      </c>
      <c r="G4" s="97" t="e">
        <f t="shared" ref="G4:O4" si="0">EOMONTH(F4,12)</f>
        <v>#REF!</v>
      </c>
      <c r="H4" s="97" t="e">
        <f t="shared" si="0"/>
        <v>#REF!</v>
      </c>
      <c r="I4" s="97" t="e">
        <f t="shared" si="0"/>
        <v>#REF!</v>
      </c>
      <c r="J4" s="97" t="e">
        <f t="shared" si="0"/>
        <v>#REF!</v>
      </c>
      <c r="K4" s="97" t="e">
        <f t="shared" si="0"/>
        <v>#REF!</v>
      </c>
      <c r="L4" s="97" t="e">
        <f t="shared" si="0"/>
        <v>#REF!</v>
      </c>
      <c r="M4" s="97" t="e">
        <f t="shared" si="0"/>
        <v>#REF!</v>
      </c>
      <c r="N4" s="97" t="e">
        <f t="shared" si="0"/>
        <v>#REF!</v>
      </c>
      <c r="O4" s="97" t="e">
        <f t="shared" si="0"/>
        <v>#REF!</v>
      </c>
      <c r="P4" s="97"/>
      <c r="Q4" s="97"/>
    </row>
    <row r="5" spans="4:18">
      <c r="D5" t="s">
        <v>87</v>
      </c>
      <c r="E5" s="101">
        <v>10000</v>
      </c>
      <c r="F5" s="101" t="e">
        <f>HLOOKUP(F4,'Перекресток - Совхоз Ленина'!$G$90:$AU$184,81,0)</f>
        <v>#REF!</v>
      </c>
      <c r="G5" s="101" t="e">
        <f>HLOOKUP(G4,'Перекресток - Совхоз Ленина'!$G$90:$AU$184,81,0)</f>
        <v>#REF!</v>
      </c>
      <c r="H5" s="101" t="e">
        <f>HLOOKUP(H4,'Перекресток - Совхоз Ленина'!$G$90:$AU$184,81,0)</f>
        <v>#REF!</v>
      </c>
      <c r="I5" s="101" t="e">
        <f>HLOOKUP(I4,'Перекресток - Совхоз Ленина'!$G$90:$AU$184,81,0)</f>
        <v>#REF!</v>
      </c>
      <c r="J5" s="101" t="e">
        <f>HLOOKUP(J4,'Перекресток - Совхоз Ленина'!$G$90:$AU$184,81,0)</f>
        <v>#REF!</v>
      </c>
      <c r="K5" s="101" t="e">
        <f>HLOOKUP(K4,'Перекресток - Совхоз Ленина'!$G$90:$AU$184,81,0)</f>
        <v>#REF!</v>
      </c>
      <c r="L5" s="101" t="e">
        <f>HLOOKUP(L4,'Перекресток - Совхоз Ленина'!$G$90:$AU$184,81,0)</f>
        <v>#REF!</v>
      </c>
      <c r="M5" s="101" t="e">
        <f>HLOOKUP(M4,'Перекресток - Совхоз Ленина'!$G$90:$AU$184,81,0)</f>
        <v>#REF!</v>
      </c>
      <c r="N5" s="101" t="e">
        <f>HLOOKUP(N4,'Перекресток - Совхоз Ленина'!$G$90:$AU$184,81,0)</f>
        <v>#REF!</v>
      </c>
      <c r="O5" s="101" t="e">
        <f>HLOOKUP(O4,'Перекресток - Совхоз Ленина'!$G$90:$AU$184,81,0)</f>
        <v>#REF!</v>
      </c>
    </row>
    <row r="6" spans="4:18">
      <c r="D6" t="s">
        <v>85</v>
      </c>
      <c r="E6" s="101">
        <v>0</v>
      </c>
      <c r="F6" s="101" t="e">
        <f>SUMIF('Перекресток - Совхоз Ленина'!#REF!,F3,'Перекресток - Совхоз Ленина'!#REF!)</f>
        <v>#REF!</v>
      </c>
      <c r="G6" s="101" t="e">
        <f>SUMIF('Перекресток - Совхоз Ленина'!#REF!,G3,'Перекресток - Совхоз Ленина'!#REF!)</f>
        <v>#REF!</v>
      </c>
      <c r="H6" s="101" t="e">
        <f>SUMIF('Перекресток - Совхоз Ленина'!#REF!,H3,'Перекресток - Совхоз Ленина'!#REF!)</f>
        <v>#REF!</v>
      </c>
      <c r="I6" s="101" t="e">
        <f>SUMIF('Перекресток - Совхоз Ленина'!#REF!,I3,'Перекресток - Совхоз Ленина'!#REF!)</f>
        <v>#REF!</v>
      </c>
      <c r="J6" s="101" t="e">
        <f>SUMIF('Перекресток - Совхоз Ленина'!#REF!,J3,'Перекресток - Совхоз Ленина'!#REF!)</f>
        <v>#REF!</v>
      </c>
      <c r="K6" s="101" t="e">
        <f>SUMIF('Перекресток - Совхоз Ленина'!#REF!,K3,'Перекресток - Совхоз Ленина'!#REF!)</f>
        <v>#REF!</v>
      </c>
      <c r="L6" s="101" t="e">
        <f>SUMIF('Перекресток - Совхоз Ленина'!#REF!,L3,'Перекресток - Совхоз Ленина'!#REF!)</f>
        <v>#REF!</v>
      </c>
      <c r="M6" s="101" t="e">
        <f>SUMIF('Перекресток - Совхоз Ленина'!#REF!,M3,'Перекресток - Совхоз Ленина'!#REF!)</f>
        <v>#REF!</v>
      </c>
      <c r="N6" s="101" t="e">
        <f>SUMIF('Перекресток - Совхоз Ленина'!#REF!,N3,'Перекресток - Совхоз Ленина'!#REF!)</f>
        <v>#REF!</v>
      </c>
      <c r="O6" s="101" t="e">
        <f>SUMIF('Перекресток - Совхоз Ленина'!#REF!,O3,'Перекресток - Совхоз Ленина'!#REF!)</f>
        <v>#REF!</v>
      </c>
    </row>
    <row r="9" spans="4:18">
      <c r="E9" t="str">
        <f>E4</f>
        <v>покупка</v>
      </c>
      <c r="F9" s="97" t="s">
        <v>57</v>
      </c>
      <c r="G9" s="97" t="s">
        <v>58</v>
      </c>
      <c r="H9" s="97" t="s">
        <v>59</v>
      </c>
      <c r="I9" s="97" t="s">
        <v>89</v>
      </c>
      <c r="J9" s="97" t="s">
        <v>61</v>
      </c>
      <c r="K9" s="97" t="s">
        <v>62</v>
      </c>
      <c r="L9" s="97" t="s">
        <v>63</v>
      </c>
      <c r="M9" s="97" t="s">
        <v>64</v>
      </c>
      <c r="N9" s="97" t="s">
        <v>65</v>
      </c>
      <c r="O9" s="97" t="s">
        <v>66</v>
      </c>
    </row>
    <row r="10" spans="4:18">
      <c r="D10" t="str">
        <f>D5</f>
        <v xml:space="preserve">Цена акции </v>
      </c>
      <c r="E10" s="99">
        <f>E5</f>
        <v>10000</v>
      </c>
      <c r="F10" s="99" t="e">
        <f>E10*(1+$P$10)</f>
        <v>#REF!</v>
      </c>
      <c r="G10" s="99" t="e">
        <f t="shared" ref="G10:N10" si="1">F10*(1+$P$10)</f>
        <v>#REF!</v>
      </c>
      <c r="H10" s="99" t="e">
        <f t="shared" si="1"/>
        <v>#REF!</v>
      </c>
      <c r="I10" s="99" t="e">
        <f t="shared" si="1"/>
        <v>#REF!</v>
      </c>
      <c r="J10" s="99" t="e">
        <f t="shared" si="1"/>
        <v>#REF!</v>
      </c>
      <c r="K10" s="99" t="e">
        <f t="shared" si="1"/>
        <v>#REF!</v>
      </c>
      <c r="L10" s="99" t="e">
        <f t="shared" si="1"/>
        <v>#REF!</v>
      </c>
      <c r="M10" s="99" t="e">
        <f t="shared" si="1"/>
        <v>#REF!</v>
      </c>
      <c r="N10" s="99" t="e">
        <f t="shared" si="1"/>
        <v>#REF!</v>
      </c>
      <c r="O10" s="99" t="e">
        <f t="shared" ref="O10" si="2">O5</f>
        <v>#REF!</v>
      </c>
      <c r="P10" s="102" t="e">
        <f>(O10/E10)^(1/10)-1</f>
        <v>#REF!</v>
      </c>
    </row>
    <row r="11" spans="4:18">
      <c r="D11" t="s">
        <v>88</v>
      </c>
      <c r="E11">
        <f>E6*8</f>
        <v>0</v>
      </c>
      <c r="F11" t="e">
        <f t="shared" ref="F11:O11" si="3">F6*8</f>
        <v>#REF!</v>
      </c>
      <c r="G11" t="e">
        <f t="shared" si="3"/>
        <v>#REF!</v>
      </c>
      <c r="H11" t="e">
        <f t="shared" si="3"/>
        <v>#REF!</v>
      </c>
      <c r="I11" t="e">
        <f t="shared" si="3"/>
        <v>#REF!</v>
      </c>
      <c r="J11" t="e">
        <f t="shared" si="3"/>
        <v>#REF!</v>
      </c>
      <c r="K11" t="e">
        <f t="shared" si="3"/>
        <v>#REF!</v>
      </c>
      <c r="L11" t="e">
        <f t="shared" si="3"/>
        <v>#REF!</v>
      </c>
      <c r="M11" t="e">
        <f t="shared" si="3"/>
        <v>#REF!</v>
      </c>
      <c r="N11" t="e">
        <f t="shared" si="3"/>
        <v>#REF!</v>
      </c>
      <c r="O11" t="e">
        <f t="shared" si="3"/>
        <v>#REF!</v>
      </c>
      <c r="Q11" t="e">
        <f>(O10+SUM(E6:O6))/E10</f>
        <v>#REF!</v>
      </c>
      <c r="R11" t="e">
        <f>O10/E10</f>
        <v>#REF!</v>
      </c>
    </row>
    <row r="13" spans="4:18">
      <c r="Q13" t="e">
        <f>SUM(E6:O6)/E5</f>
        <v>#REF!</v>
      </c>
    </row>
    <row r="44" spans="5:17">
      <c r="F44" t="s">
        <v>86</v>
      </c>
      <c r="G44" t="s">
        <v>35</v>
      </c>
      <c r="H44" t="s">
        <v>90</v>
      </c>
      <c r="I44" t="s">
        <v>91</v>
      </c>
      <c r="J44" t="s">
        <v>92</v>
      </c>
      <c r="K44" t="s">
        <v>93</v>
      </c>
      <c r="L44" t="s">
        <v>94</v>
      </c>
    </row>
    <row r="45" spans="5:17">
      <c r="E45" s="99"/>
      <c r="F45" s="99">
        <v>10000</v>
      </c>
      <c r="G45" s="99"/>
      <c r="H45" s="99"/>
      <c r="I45" s="99"/>
      <c r="J45" s="99"/>
      <c r="K45" s="99"/>
      <c r="L45" s="99">
        <v>15059</v>
      </c>
      <c r="M45" s="99"/>
      <c r="N45" s="99"/>
      <c r="O45" s="99"/>
      <c r="P45" s="99"/>
      <c r="Q45" s="99"/>
    </row>
  </sheetData>
  <phoneticPr fontId="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C9C28-4EDD-46EE-B759-9BD3AF8E0ACE}">
  <dimension ref="D3:M10"/>
  <sheetViews>
    <sheetView workbookViewId="0">
      <selection activeCell="G38" sqref="G38"/>
    </sheetView>
  </sheetViews>
  <sheetFormatPr defaultRowHeight="13.2"/>
  <cols>
    <col min="4" max="4" width="13.109375" customWidth="1"/>
  </cols>
  <sheetData>
    <row r="3" spans="4:13">
      <c r="E3">
        <v>0</v>
      </c>
      <c r="F3">
        <v>1</v>
      </c>
      <c r="G3">
        <v>2</v>
      </c>
      <c r="H3">
        <v>3</v>
      </c>
      <c r="I3">
        <v>4</v>
      </c>
      <c r="J3">
        <v>5</v>
      </c>
      <c r="K3">
        <v>6</v>
      </c>
    </row>
    <row r="4" spans="4:13">
      <c r="E4" s="97" t="s">
        <v>86</v>
      </c>
      <c r="F4" s="97">
        <v>45382</v>
      </c>
      <c r="G4" s="97">
        <v>45473</v>
      </c>
      <c r="H4" s="97">
        <v>45565</v>
      </c>
      <c r="I4" s="97">
        <v>45657</v>
      </c>
      <c r="J4" s="97">
        <v>45747</v>
      </c>
      <c r="K4" s="97">
        <v>45838</v>
      </c>
      <c r="L4">
        <f>K4-F4</f>
        <v>456</v>
      </c>
    </row>
    <row r="5" spans="4:13">
      <c r="D5" t="s">
        <v>87</v>
      </c>
      <c r="E5" s="99">
        <v>10000</v>
      </c>
      <c r="F5" s="99">
        <v>0</v>
      </c>
      <c r="G5" s="99">
        <v>0</v>
      </c>
      <c r="H5" s="99">
        <v>0</v>
      </c>
      <c r="I5" s="99">
        <v>0</v>
      </c>
      <c r="J5" s="99">
        <v>0</v>
      </c>
      <c r="K5" s="99">
        <v>15058.638482969463</v>
      </c>
      <c r="M5" s="98">
        <f>(K5/E5)^(1/K3)-1</f>
        <v>7.0609151037329676E-2</v>
      </c>
    </row>
    <row r="6" spans="4:13">
      <c r="D6" t="s">
        <v>85</v>
      </c>
      <c r="E6" s="99">
        <v>0</v>
      </c>
      <c r="F6" s="99">
        <v>0</v>
      </c>
      <c r="G6" s="99">
        <v>0</v>
      </c>
      <c r="H6" s="99">
        <v>0</v>
      </c>
      <c r="I6" s="99">
        <v>0</v>
      </c>
      <c r="J6" s="99">
        <v>0</v>
      </c>
      <c r="K6" s="99"/>
    </row>
    <row r="10" spans="4:13">
      <c r="L10" s="100" t="e">
        <f>YEARFRAC('Перекресток - Совхоз Ленина'!#REF!,K4)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8B6F0-3DA1-4B10-A907-6C7C3BD3BCFF}">
  <sheetPr>
    <tabColor rgb="FFC00000"/>
  </sheetPr>
  <dimension ref="A1:BV254"/>
  <sheetViews>
    <sheetView showGridLines="0" zoomScale="40" zoomScaleNormal="40" workbookViewId="0">
      <pane ySplit="1" topLeftCell="A2" activePane="bottomLeft" state="frozen"/>
      <selection pane="bottomLeft" activeCell="F130" sqref="F130"/>
    </sheetView>
  </sheetViews>
  <sheetFormatPr defaultColWidth="0" defaultRowHeight="15" outlineLevelRow="2" outlineLevelCol="1"/>
  <cols>
    <col min="1" max="1" width="5.21875" style="5" customWidth="1"/>
    <col min="2" max="2" width="51.44140625" style="5" customWidth="1"/>
    <col min="3" max="3" width="16.77734375" style="5" hidden="1" customWidth="1"/>
    <col min="4" max="4" width="2.44140625" style="5" hidden="1" customWidth="1" outlineLevel="1"/>
    <col min="5" max="5" width="27.21875" style="5" hidden="1" customWidth="1" outlineLevel="1"/>
    <col min="6" max="6" width="23" style="3" customWidth="1" collapsed="1"/>
    <col min="7" max="7" width="18.88671875" style="3" customWidth="1"/>
    <col min="8" max="8" width="18.44140625" style="3" bestFit="1" customWidth="1"/>
    <col min="9" max="9" width="19.33203125" style="3" customWidth="1"/>
    <col min="10" max="10" width="16.33203125" style="3" customWidth="1"/>
    <col min="11" max="11" width="18" style="3" customWidth="1"/>
    <col min="12" max="12" width="19" style="3" customWidth="1"/>
    <col min="13" max="14" width="18.44140625" style="3" customWidth="1"/>
    <col min="15" max="34" width="16.33203125" style="3" customWidth="1"/>
    <col min="35" max="47" width="17.88671875" style="3" bestFit="1" customWidth="1"/>
    <col min="48" max="49" width="17.88671875" style="5" bestFit="1" customWidth="1"/>
    <col min="50" max="54" width="17.88671875" style="5" hidden="1" customWidth="1"/>
    <col min="55" max="55" width="8.88671875" style="5" customWidth="1"/>
    <col min="56" max="56" width="55" style="5" hidden="1" customWidth="1" outlineLevel="1"/>
    <col min="57" max="57" width="16.33203125" style="5" hidden="1" customWidth="1" outlineLevel="1"/>
    <col min="58" max="60" width="14.77734375" style="5" hidden="1" customWidth="1" outlineLevel="1"/>
    <col min="61" max="66" width="15.44140625" style="5" hidden="1" customWidth="1" outlineLevel="1"/>
    <col min="67" max="67" width="8.88671875" style="5" customWidth="1" collapsed="1"/>
    <col min="68" max="74" width="8.88671875" style="5" customWidth="1"/>
    <col min="75" max="16384" width="0" style="5" hidden="1"/>
  </cols>
  <sheetData>
    <row r="1" spans="1:66" ht="15.6">
      <c r="A1" s="1"/>
      <c r="B1" s="2" t="s">
        <v>95</v>
      </c>
      <c r="C1" s="129">
        <f>'Калькулятор инвестора'!$D$18</f>
        <v>1</v>
      </c>
      <c r="D1" s="4"/>
      <c r="E1" s="4"/>
      <c r="F1" s="4"/>
      <c r="G1" s="4"/>
      <c r="H1" s="4"/>
      <c r="I1" s="4"/>
      <c r="J1" s="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</row>
    <row r="2" spans="1:66" s="1" customFormat="1">
      <c r="F2" s="490"/>
      <c r="H2" s="490"/>
      <c r="I2" s="490">
        <v>0</v>
      </c>
      <c r="J2" s="490">
        <v>1</v>
      </c>
      <c r="K2" s="490">
        <v>1</v>
      </c>
      <c r="L2" s="490">
        <f>H2+1</f>
        <v>1</v>
      </c>
      <c r="M2" s="490">
        <f>I2+1</f>
        <v>1</v>
      </c>
      <c r="N2" s="490">
        <f t="shared" ref="N2" si="0">J2+1</f>
        <v>2</v>
      </c>
      <c r="O2" s="490">
        <f t="shared" ref="O2" si="1">K2+1</f>
        <v>2</v>
      </c>
      <c r="P2" s="490">
        <f t="shared" ref="P2" si="2">L2+1</f>
        <v>2</v>
      </c>
      <c r="Q2" s="490">
        <f t="shared" ref="Q2" si="3">M2+1</f>
        <v>2</v>
      </c>
      <c r="R2" s="490">
        <f t="shared" ref="R2" si="4">N2+1</f>
        <v>3</v>
      </c>
      <c r="S2" s="490">
        <f t="shared" ref="S2" si="5">O2+1</f>
        <v>3</v>
      </c>
      <c r="T2" s="490">
        <f t="shared" ref="T2" si="6">P2+1</f>
        <v>3</v>
      </c>
      <c r="U2" s="490">
        <f t="shared" ref="U2" si="7">Q2+1</f>
        <v>3</v>
      </c>
      <c r="V2" s="490">
        <f t="shared" ref="V2" si="8">R2+1</f>
        <v>4</v>
      </c>
      <c r="W2" s="490">
        <f t="shared" ref="W2" si="9">S2+1</f>
        <v>4</v>
      </c>
      <c r="X2" s="490">
        <f t="shared" ref="X2" si="10">T2+1</f>
        <v>4</v>
      </c>
      <c r="Y2" s="490">
        <f t="shared" ref="Y2" si="11">U2+1</f>
        <v>4</v>
      </c>
      <c r="Z2" s="490">
        <f t="shared" ref="Z2" si="12">V2+1</f>
        <v>5</v>
      </c>
      <c r="AA2" s="490">
        <f t="shared" ref="AA2" si="13">W2+1</f>
        <v>5</v>
      </c>
      <c r="AB2" s="490">
        <f t="shared" ref="AB2" si="14">X2+1</f>
        <v>5</v>
      </c>
      <c r="AC2" s="490">
        <f t="shared" ref="AC2" si="15">Y2+1</f>
        <v>5</v>
      </c>
      <c r="AD2" s="490">
        <f t="shared" ref="AD2" si="16">Z2+1</f>
        <v>6</v>
      </c>
      <c r="AE2" s="490">
        <f t="shared" ref="AE2" si="17">AA2+1</f>
        <v>6</v>
      </c>
      <c r="AF2" s="490">
        <f t="shared" ref="AF2" si="18">AB2+1</f>
        <v>6</v>
      </c>
      <c r="AG2" s="490">
        <f t="shared" ref="AG2" si="19">AC2+1</f>
        <v>6</v>
      </c>
      <c r="AH2" s="490">
        <f t="shared" ref="AH2" si="20">AD2+1</f>
        <v>7</v>
      </c>
      <c r="AI2" s="490">
        <f t="shared" ref="AI2" si="21">AE2+1</f>
        <v>7</v>
      </c>
      <c r="AJ2" s="490">
        <f t="shared" ref="AJ2" si="22">AF2+1</f>
        <v>7</v>
      </c>
      <c r="AK2" s="490">
        <f t="shared" ref="AK2" si="23">AG2+1</f>
        <v>7</v>
      </c>
      <c r="AL2" s="490">
        <f t="shared" ref="AL2" si="24">AH2+1</f>
        <v>8</v>
      </c>
      <c r="AM2" s="490">
        <f t="shared" ref="AM2" si="25">AI2+1</f>
        <v>8</v>
      </c>
      <c r="AN2" s="490">
        <f t="shared" ref="AN2" si="26">AJ2+1</f>
        <v>8</v>
      </c>
      <c r="AO2" s="490">
        <f t="shared" ref="AO2" si="27">AK2+1</f>
        <v>8</v>
      </c>
      <c r="AP2" s="490">
        <f t="shared" ref="AP2" si="28">AL2+1</f>
        <v>9</v>
      </c>
      <c r="AQ2" s="490">
        <f t="shared" ref="AQ2" si="29">AM2+1</f>
        <v>9</v>
      </c>
      <c r="AR2" s="490">
        <f t="shared" ref="AR2" si="30">AN2+1</f>
        <v>9</v>
      </c>
      <c r="AS2" s="490">
        <f t="shared" ref="AS2" si="31">AO2+1</f>
        <v>9</v>
      </c>
      <c r="AT2" s="490">
        <f t="shared" ref="AT2" si="32">AP2+1</f>
        <v>10</v>
      </c>
      <c r="AU2" s="490">
        <f t="shared" ref="AU2" si="33">AQ2+1</f>
        <v>10</v>
      </c>
      <c r="AV2" s="490">
        <f t="shared" ref="AV2" si="34">AR2+1</f>
        <v>10</v>
      </c>
      <c r="AW2" s="490">
        <f t="shared" ref="AW2" si="35">AS2+1</f>
        <v>10</v>
      </c>
      <c r="BE2" s="490">
        <v>1</v>
      </c>
      <c r="BF2" s="490">
        <f>BE2+1</f>
        <v>2</v>
      </c>
      <c r="BG2" s="490">
        <f t="shared" ref="BG2:BN2" si="36">BF2+1</f>
        <v>3</v>
      </c>
      <c r="BH2" s="490">
        <f t="shared" si="36"/>
        <v>4</v>
      </c>
      <c r="BI2" s="490">
        <f t="shared" si="36"/>
        <v>5</v>
      </c>
      <c r="BJ2" s="490">
        <f t="shared" si="36"/>
        <v>6</v>
      </c>
      <c r="BK2" s="490">
        <f t="shared" si="36"/>
        <v>7</v>
      </c>
      <c r="BL2" s="490">
        <f t="shared" si="36"/>
        <v>8</v>
      </c>
      <c r="BM2" s="490">
        <f t="shared" si="36"/>
        <v>9</v>
      </c>
      <c r="BN2" s="490">
        <f t="shared" si="36"/>
        <v>10</v>
      </c>
    </row>
    <row r="3" spans="1:66" ht="14.4" hidden="1" customHeight="1" outlineLevel="1">
      <c r="B3" s="6" t="s">
        <v>0</v>
      </c>
      <c r="C3" s="6"/>
      <c r="D3" s="6"/>
      <c r="E3" s="6"/>
      <c r="F3" s="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66" hidden="1" outlineLevel="1">
      <c r="E4" s="3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1:66" ht="15.6" hidden="1" outlineLevel="1">
      <c r="B5" s="8" t="s">
        <v>1</v>
      </c>
      <c r="C5" s="110"/>
      <c r="E5" s="3"/>
      <c r="F5" s="5"/>
      <c r="G5" s="5"/>
      <c r="I5" s="19" t="s">
        <v>4</v>
      </c>
      <c r="J5" s="20" t="s">
        <v>5</v>
      </c>
      <c r="K5" s="20" t="s">
        <v>6</v>
      </c>
      <c r="L5" s="19" t="s">
        <v>7</v>
      </c>
      <c r="M5" s="19"/>
      <c r="N5" s="20" t="s">
        <v>5</v>
      </c>
      <c r="O5" s="20" t="s">
        <v>6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66" ht="15.6" hidden="1" outlineLevel="1">
      <c r="B6" s="5" t="s">
        <v>97</v>
      </c>
      <c r="C6" s="33">
        <v>375000000</v>
      </c>
      <c r="D6" s="3"/>
      <c r="E6" s="33"/>
      <c r="F6" s="33"/>
      <c r="G6" s="33"/>
      <c r="I6" s="24" t="s">
        <v>46</v>
      </c>
      <c r="J6" s="25">
        <f>N14</f>
        <v>430000000</v>
      </c>
      <c r="K6" s="26">
        <f>J6/$J$14</f>
        <v>1</v>
      </c>
      <c r="L6" s="24" t="s">
        <v>34</v>
      </c>
      <c r="M6" s="27"/>
      <c r="N6" s="25">
        <f>$C$6</f>
        <v>375000000</v>
      </c>
      <c r="O6" s="28">
        <f t="shared" ref="O6:O13" si="37">N6/$N$14</f>
        <v>0.87209302325581395</v>
      </c>
      <c r="P6" s="5"/>
      <c r="Q6" s="5"/>
      <c r="R6" s="5"/>
      <c r="S6" s="5"/>
      <c r="T6" s="5"/>
      <c r="U6" s="5"/>
      <c r="V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66" hidden="1" outlineLevel="1">
      <c r="B7" s="107" t="s">
        <v>98</v>
      </c>
      <c r="C7" s="33">
        <f>C6*80%</f>
        <v>300000000</v>
      </c>
      <c r="D7" s="3"/>
      <c r="E7" s="47"/>
      <c r="F7" s="47"/>
      <c r="G7" s="47"/>
      <c r="H7" s="47"/>
      <c r="I7" s="24"/>
      <c r="J7" s="33"/>
      <c r="K7" s="26"/>
      <c r="L7" s="24" t="s">
        <v>24</v>
      </c>
      <c r="M7" s="30"/>
      <c r="N7" s="128">
        <v>2000000</v>
      </c>
      <c r="O7" s="28">
        <f t="shared" si="37"/>
        <v>4.6511627906976744E-3</v>
      </c>
      <c r="P7" s="5"/>
      <c r="Q7" s="5"/>
      <c r="R7" s="5"/>
      <c r="S7" s="5"/>
      <c r="T7" s="5"/>
      <c r="U7" s="5"/>
      <c r="V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66" hidden="1" outlineLevel="1">
      <c r="B8" s="107" t="s">
        <v>99</v>
      </c>
      <c r="C8" s="33">
        <f>C6-C7</f>
        <v>75000000</v>
      </c>
      <c r="D8" s="12"/>
      <c r="E8" s="9"/>
      <c r="F8" s="9"/>
      <c r="G8" s="9"/>
      <c r="H8" s="9"/>
      <c r="L8" s="24" t="s">
        <v>182</v>
      </c>
      <c r="N8" s="34">
        <v>1000000</v>
      </c>
      <c r="O8" s="28">
        <f t="shared" si="37"/>
        <v>2.3255813953488372E-3</v>
      </c>
      <c r="P8" s="219"/>
      <c r="Q8" s="5"/>
      <c r="R8" s="5"/>
      <c r="S8" s="5"/>
      <c r="T8" s="5"/>
      <c r="U8" s="5"/>
      <c r="V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66" hidden="1" outlineLevel="1">
      <c r="B9" s="5" t="s">
        <v>102</v>
      </c>
      <c r="C9" s="33">
        <f>1496.6</f>
        <v>1496.6</v>
      </c>
      <c r="D9" s="12"/>
      <c r="E9" s="3"/>
      <c r="I9" s="24"/>
      <c r="J9" s="33"/>
      <c r="K9" s="26"/>
      <c r="L9" s="5" t="s">
        <v>45</v>
      </c>
      <c r="M9" s="5"/>
      <c r="N9" s="34">
        <v>1000000</v>
      </c>
      <c r="O9" s="28">
        <f t="shared" si="37"/>
        <v>2.3255813953488372E-3</v>
      </c>
      <c r="P9" s="5"/>
      <c r="Q9" s="5"/>
      <c r="R9" s="5"/>
      <c r="S9" s="5"/>
      <c r="T9" s="5"/>
      <c r="U9" s="5"/>
      <c r="V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66" ht="15.6" hidden="1" outlineLevel="1">
      <c r="B10" s="13" t="s">
        <v>33</v>
      </c>
      <c r="C10" s="14">
        <f>C6/C9</f>
        <v>250567.95402913273</v>
      </c>
      <c r="D10" s="15"/>
      <c r="E10" s="3"/>
      <c r="I10" s="37"/>
      <c r="J10" s="38"/>
      <c r="K10" s="39"/>
      <c r="L10" s="10" t="s">
        <v>177</v>
      </c>
      <c r="N10" s="34">
        <v>700000</v>
      </c>
      <c r="O10" s="28">
        <f t="shared" si="37"/>
        <v>1.6279069767441861E-3</v>
      </c>
      <c r="P10" s="5"/>
      <c r="Q10" s="5"/>
      <c r="R10" s="5"/>
      <c r="S10" s="5"/>
      <c r="T10" s="5"/>
      <c r="U10" s="5"/>
      <c r="V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66" hidden="1" outlineLevel="1">
      <c r="B11" s="5" t="s">
        <v>103</v>
      </c>
      <c r="C11" s="33">
        <f>2174+500</f>
        <v>2674</v>
      </c>
      <c r="D11" s="16"/>
      <c r="E11" s="3"/>
      <c r="L11" s="10" t="s">
        <v>178</v>
      </c>
      <c r="N11" s="128">
        <v>160000</v>
      </c>
      <c r="O11" s="28">
        <f t="shared" si="37"/>
        <v>3.7209302325581393E-4</v>
      </c>
      <c r="P11" s="5"/>
      <c r="Q11" s="5"/>
      <c r="R11" s="5"/>
      <c r="S11" s="5"/>
      <c r="T11" s="5"/>
      <c r="U11" s="5"/>
      <c r="V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66" ht="15.6" hidden="1" outlineLevel="1">
      <c r="B12" s="5" t="s">
        <v>3</v>
      </c>
      <c r="C12" s="17">
        <v>45473</v>
      </c>
      <c r="D12" s="16"/>
      <c r="E12" s="14"/>
      <c r="F12" s="14"/>
      <c r="G12" s="14"/>
      <c r="H12" s="14"/>
      <c r="L12" s="10" t="s">
        <v>15</v>
      </c>
      <c r="N12" s="25">
        <f>$C$38*$N$6</f>
        <v>18750000</v>
      </c>
      <c r="O12" s="28">
        <f t="shared" si="37"/>
        <v>4.3604651162790699E-2</v>
      </c>
      <c r="P12" s="5"/>
      <c r="Q12" s="5"/>
      <c r="R12" s="5"/>
      <c r="S12" s="5"/>
      <c r="T12" s="5"/>
      <c r="U12" s="5"/>
      <c r="V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66" hidden="1" outlineLevel="1">
      <c r="B13" s="5" t="s">
        <v>100</v>
      </c>
      <c r="C13" s="33">
        <v>95517768.730000004</v>
      </c>
      <c r="E13" s="3"/>
      <c r="I13" s="21"/>
      <c r="J13" s="21"/>
      <c r="K13" s="21"/>
      <c r="L13" s="21" t="s">
        <v>159</v>
      </c>
      <c r="M13" s="21"/>
      <c r="N13" s="34">
        <v>31390000</v>
      </c>
      <c r="O13" s="28">
        <f t="shared" si="37"/>
        <v>7.2999999999999995E-2</v>
      </c>
      <c r="P13" s="5"/>
      <c r="Q13" s="5"/>
      <c r="R13" s="5"/>
      <c r="S13" s="5"/>
      <c r="T13" s="5"/>
      <c r="U13" s="5"/>
      <c r="V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66" ht="15.6" hidden="1" outlineLevel="1">
      <c r="B14" s="13" t="s">
        <v>50</v>
      </c>
      <c r="C14" s="14">
        <f>C13/C9</f>
        <v>63823.178357610588</v>
      </c>
      <c r="D14" s="15"/>
      <c r="E14" s="3"/>
      <c r="I14" s="40" t="s">
        <v>9</v>
      </c>
      <c r="J14" s="41">
        <f>SUM(J6:J13)</f>
        <v>430000000</v>
      </c>
      <c r="K14" s="42">
        <f>SUM(K6:K13)</f>
        <v>1</v>
      </c>
      <c r="L14" s="40" t="s">
        <v>9</v>
      </c>
      <c r="M14" s="40"/>
      <c r="N14" s="41">
        <f>SUM(N6:N13)</f>
        <v>430000000</v>
      </c>
      <c r="O14" s="42">
        <f>SUM(O6:O13)</f>
        <v>1</v>
      </c>
      <c r="P14" s="5"/>
      <c r="Q14" s="5"/>
      <c r="R14" s="5"/>
      <c r="S14" s="5"/>
      <c r="T14" s="5"/>
      <c r="U14" s="5"/>
      <c r="V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66" hidden="1" outlineLevel="1">
      <c r="B15" s="5" t="s">
        <v>101</v>
      </c>
      <c r="C15" s="33">
        <f>3633985+15585297.3</f>
        <v>19219282.300000001</v>
      </c>
      <c r="E15" s="3"/>
      <c r="K15" s="5"/>
      <c r="L15" s="21"/>
      <c r="M15" s="21"/>
      <c r="O15" s="21"/>
      <c r="P15" s="5"/>
      <c r="Q15" s="5"/>
      <c r="R15" s="5"/>
      <c r="S15" s="5"/>
      <c r="T15" s="5"/>
      <c r="V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66" ht="15.6" hidden="1" outlineLevel="1">
      <c r="B16" s="13" t="s">
        <v>50</v>
      </c>
      <c r="C16" s="14">
        <f>C15/C11</f>
        <v>7187.4653328347049</v>
      </c>
      <c r="D16" s="3"/>
      <c r="E16" s="3"/>
      <c r="K16" s="25"/>
      <c r="L16" s="21"/>
      <c r="M16" s="21"/>
      <c r="O16" s="21"/>
      <c r="P16" s="5"/>
      <c r="Q16" s="5"/>
      <c r="R16" s="5"/>
      <c r="S16" s="21"/>
      <c r="T16" s="21"/>
      <c r="U16" s="23"/>
      <c r="V16" s="21"/>
      <c r="Z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2:47" s="21" customFormat="1" hidden="1" outlineLevel="1">
      <c r="D17" s="16"/>
      <c r="E17" s="3"/>
      <c r="F17" s="3"/>
      <c r="G17" s="3"/>
      <c r="H17" s="3"/>
      <c r="K17" s="25"/>
      <c r="N17" s="3"/>
      <c r="P17" s="5"/>
      <c r="Q17" s="5"/>
      <c r="R17" s="5"/>
      <c r="U17" s="23"/>
      <c r="AA17" s="23"/>
    </row>
    <row r="18" spans="2:47" s="21" customFormat="1" ht="15.6" hidden="1" outlineLevel="1">
      <c r="B18" s="8" t="s">
        <v>48</v>
      </c>
      <c r="C18" s="18"/>
      <c r="D18" s="16"/>
      <c r="E18" s="3"/>
      <c r="F18" s="3"/>
      <c r="G18" s="3"/>
      <c r="U18" s="23"/>
      <c r="AA18" s="23"/>
    </row>
    <row r="19" spans="2:47" s="21" customFormat="1" hidden="1" outlineLevel="1">
      <c r="B19" s="5" t="s">
        <v>104</v>
      </c>
      <c r="C19" s="108" t="s">
        <v>105</v>
      </c>
      <c r="E19" s="3"/>
      <c r="F19" s="3"/>
      <c r="G19" s="3"/>
      <c r="U19" s="23"/>
      <c r="AA19" s="23"/>
    </row>
    <row r="20" spans="2:47" ht="15.6" hidden="1" outlineLevel="1">
      <c r="B20" s="5" t="s">
        <v>106</v>
      </c>
      <c r="C20" s="17">
        <v>48289</v>
      </c>
      <c r="D20" s="35"/>
      <c r="E20" s="3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3"/>
      <c r="V20" s="21"/>
      <c r="Z20" s="21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2:47" ht="16.350000000000001" hidden="1" customHeight="1" outlineLevel="1">
      <c r="B21" s="5" t="s">
        <v>107</v>
      </c>
      <c r="C21" s="33">
        <v>3400000</v>
      </c>
      <c r="D21" s="12"/>
      <c r="E21" s="3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3"/>
      <c r="V21" s="21"/>
      <c r="Z21" s="21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2:47" s="21" customFormat="1" ht="15.6" hidden="1" outlineLevel="1">
      <c r="B22" s="13" t="s">
        <v>110</v>
      </c>
      <c r="C22" s="14">
        <f>C21/C9</f>
        <v>2271.8161165308034</v>
      </c>
      <c r="D22" s="3"/>
      <c r="E22" s="3"/>
      <c r="F22" s="3"/>
      <c r="G22" s="3"/>
      <c r="U22" s="23"/>
      <c r="AA22" s="23"/>
    </row>
    <row r="23" spans="2:47" s="21" customFormat="1" hidden="1" outlineLevel="1">
      <c r="B23" s="5" t="s">
        <v>108</v>
      </c>
      <c r="C23" s="109">
        <f>5.8%</f>
        <v>5.7999999999999996E-2</v>
      </c>
      <c r="D23" s="3"/>
      <c r="E23" s="3"/>
      <c r="F23" s="3"/>
      <c r="G23" s="3"/>
      <c r="AA23" s="23"/>
    </row>
    <row r="24" spans="2:47" hidden="1" outlineLevel="1">
      <c r="B24" s="5" t="s">
        <v>109</v>
      </c>
      <c r="C24" s="109">
        <v>4.4999999999999998E-2</v>
      </c>
      <c r="D24" s="32"/>
      <c r="E24" s="3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5"/>
      <c r="U24" s="5"/>
      <c r="V24" s="5"/>
      <c r="W24" s="5"/>
      <c r="X24" s="5"/>
      <c r="Y24" s="5"/>
      <c r="Z24" s="5"/>
      <c r="AA24" s="5"/>
      <c r="AB24" s="5"/>
      <c r="AC24" s="5"/>
      <c r="AD24" s="43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2:47" hidden="1" outlineLevel="1">
      <c r="B25" s="5" t="s">
        <v>114</v>
      </c>
      <c r="C25" s="33" t="s">
        <v>43</v>
      </c>
      <c r="D25" s="3"/>
      <c r="E25" s="3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5"/>
      <c r="U25" s="5"/>
      <c r="V25" s="5"/>
      <c r="W25" s="5"/>
      <c r="X25" s="5"/>
      <c r="Y25" s="5"/>
      <c r="Z25" s="5"/>
      <c r="AA25" s="5"/>
      <c r="AB25" s="5"/>
      <c r="AC25" s="5"/>
      <c r="AD25" s="43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2:47" hidden="1" outlineLevel="1">
      <c r="C26" s="33"/>
      <c r="E26" s="3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5"/>
      <c r="U26" s="5"/>
      <c r="V26" s="5"/>
      <c r="W26" s="5"/>
      <c r="X26" s="5"/>
      <c r="Y26" s="5"/>
      <c r="Z26" s="5"/>
      <c r="AA26" s="5"/>
      <c r="AB26" s="5"/>
      <c r="AC26" s="5"/>
      <c r="AD26" s="43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2:47" ht="15.6" hidden="1" outlineLevel="1">
      <c r="B27" s="45" t="s">
        <v>10</v>
      </c>
      <c r="C27" s="221"/>
      <c r="E27" s="3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5"/>
      <c r="U27" s="5"/>
      <c r="V27" s="5"/>
      <c r="W27" s="5"/>
      <c r="X27" s="5"/>
      <c r="Y27" s="5"/>
      <c r="Z27" s="5"/>
      <c r="AA27" s="5"/>
      <c r="AB27" s="5"/>
      <c r="AC27" s="5"/>
      <c r="AD27" s="43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2:47" hidden="1" outlineLevel="1">
      <c r="B28" s="46" t="s">
        <v>132</v>
      </c>
      <c r="C28" s="116">
        <v>1.4999999999999999E-2</v>
      </c>
      <c r="E28" s="3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5"/>
      <c r="U28" s="5"/>
      <c r="V28" s="5"/>
      <c r="W28" s="5"/>
      <c r="X28" s="5"/>
      <c r="Y28" s="5"/>
      <c r="Z28" s="5"/>
      <c r="AA28" s="5"/>
      <c r="AB28" s="5"/>
      <c r="AC28" s="5"/>
      <c r="AD28" s="43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2:47" hidden="1" outlineLevel="1">
      <c r="B29" s="46" t="s">
        <v>96</v>
      </c>
      <c r="C29" s="47">
        <f>C15*$C$28</f>
        <v>288289.23450000002</v>
      </c>
      <c r="E29" s="3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5"/>
      <c r="U29" s="5"/>
      <c r="V29" s="5"/>
      <c r="W29" s="5"/>
      <c r="X29" s="5"/>
      <c r="Y29" s="5"/>
      <c r="Z29" s="5"/>
      <c r="AA29" s="5"/>
      <c r="AB29" s="5"/>
      <c r="AC29" s="5"/>
      <c r="AD29" s="43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2:47" hidden="1" outlineLevel="1">
      <c r="B30" s="46" t="s">
        <v>131</v>
      </c>
      <c r="C30" s="116">
        <v>0.02</v>
      </c>
      <c r="D30" s="3"/>
      <c r="E30" s="3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5"/>
      <c r="U30" s="5"/>
      <c r="V30" s="5"/>
      <c r="W30" s="5"/>
      <c r="X30" s="5"/>
      <c r="Y30" s="5"/>
      <c r="Z30" s="5"/>
      <c r="AA30" s="5"/>
      <c r="AB30" s="5"/>
      <c r="AC30" s="5"/>
      <c r="AD30" s="43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2:47" hidden="1" outlineLevel="1">
      <c r="B31" s="5" t="s">
        <v>111</v>
      </c>
      <c r="C31" s="60">
        <f>C13*$C$30</f>
        <v>1910355.3746000002</v>
      </c>
      <c r="D31" s="3"/>
      <c r="E31" s="3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5"/>
      <c r="U31" s="5"/>
      <c r="V31" s="5"/>
      <c r="W31" s="5"/>
      <c r="X31" s="5"/>
      <c r="Y31" s="5"/>
      <c r="Z31" s="5"/>
      <c r="AA31" s="5"/>
      <c r="AB31" s="5"/>
      <c r="AC31" s="5"/>
      <c r="AD31" s="43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2:47" hidden="1" outlineLevel="1">
      <c r="B32" s="5" t="s">
        <v>53</v>
      </c>
      <c r="C32" s="33">
        <f>120000*12+217250*12</f>
        <v>4047000</v>
      </c>
      <c r="D32" s="3"/>
      <c r="E32" s="3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5"/>
      <c r="U32" s="5"/>
      <c r="V32" s="5"/>
      <c r="W32" s="5"/>
      <c r="X32" s="5"/>
      <c r="Y32" s="5"/>
      <c r="Z32" s="5"/>
      <c r="AA32" s="5"/>
      <c r="AB32" s="5"/>
      <c r="AC32" s="5"/>
      <c r="AD32" s="43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2:47" ht="15.6" hidden="1" outlineLevel="1">
      <c r="B33" s="13" t="s">
        <v>52</v>
      </c>
      <c r="C33" s="14">
        <f>C32/C9/12</f>
        <v>225.34411332353338</v>
      </c>
      <c r="D33" s="3"/>
      <c r="E33" s="9"/>
      <c r="F33" s="9"/>
      <c r="G33" s="9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5"/>
      <c r="U33" s="5"/>
      <c r="V33" s="5"/>
      <c r="W33" s="5"/>
      <c r="X33" s="5"/>
      <c r="Y33" s="5"/>
      <c r="Z33" s="5"/>
      <c r="AA33" s="5"/>
      <c r="AB33" s="5"/>
      <c r="AC33" s="5"/>
      <c r="AD33" s="43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2:47" ht="15.6" hidden="1" outlineLevel="1">
      <c r="B34" s="49" t="s">
        <v>47</v>
      </c>
      <c r="C34" s="50">
        <f>C29+C31+C32</f>
        <v>6245644.6091</v>
      </c>
      <c r="E34" s="25"/>
      <c r="F34" s="25"/>
      <c r="G34" s="25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5"/>
      <c r="U34" s="5"/>
      <c r="V34" s="5"/>
      <c r="W34" s="5"/>
      <c r="X34" s="5"/>
      <c r="Y34" s="5"/>
      <c r="Z34" s="5"/>
      <c r="AA34" s="43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2:47" hidden="1" outlineLevel="1">
      <c r="B35" s="106"/>
      <c r="C35" s="33"/>
      <c r="E35" s="3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5"/>
      <c r="U35" s="5"/>
      <c r="V35" s="5"/>
      <c r="W35" s="5"/>
      <c r="X35" s="5"/>
      <c r="Y35" s="5"/>
      <c r="Z35" s="5"/>
      <c r="AA35" s="43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2:47" hidden="1" outlineLevel="1">
      <c r="D36" s="3"/>
      <c r="E36" s="23"/>
      <c r="F36" s="23"/>
      <c r="G36" s="23"/>
      <c r="K36" s="21"/>
      <c r="L36" s="5"/>
      <c r="P36" s="9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2:47" ht="15.6" hidden="1" outlineLevel="1">
      <c r="B37" s="8" t="s">
        <v>8</v>
      </c>
      <c r="C37" s="110"/>
      <c r="D37" s="33"/>
      <c r="E37" s="9"/>
      <c r="F37" s="9"/>
      <c r="G37" s="9"/>
      <c r="K37" s="21"/>
      <c r="L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2:47" hidden="1" outlineLevel="1">
      <c r="B38" s="5" t="s">
        <v>11</v>
      </c>
      <c r="C38" s="108">
        <v>0.05</v>
      </c>
      <c r="D38" s="33"/>
      <c r="E38" s="3"/>
      <c r="Q38" s="5"/>
      <c r="R38" s="5"/>
      <c r="S38" s="5"/>
      <c r="T38" s="5"/>
      <c r="U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2:47" hidden="1" outlineLevel="1">
      <c r="B39" s="5" t="s">
        <v>12</v>
      </c>
      <c r="C39" s="108">
        <v>0.01</v>
      </c>
      <c r="D39" s="33"/>
      <c r="E39" s="3"/>
      <c r="Q39" s="5"/>
      <c r="R39" s="5"/>
      <c r="S39" s="5"/>
      <c r="T39" s="5"/>
      <c r="U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2:47" ht="15.6" hidden="1" outlineLevel="1">
      <c r="B40" s="5" t="s">
        <v>160</v>
      </c>
      <c r="C40" s="108">
        <v>0.05</v>
      </c>
      <c r="D40" s="48"/>
      <c r="E40" s="3"/>
      <c r="N40" s="5"/>
      <c r="O40" s="5"/>
      <c r="P40" s="5"/>
      <c r="Q40" s="5"/>
      <c r="R40" s="5"/>
      <c r="S40" s="5"/>
      <c r="T40" s="5"/>
      <c r="U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2:47" ht="15.6" hidden="1" outlineLevel="1">
      <c r="C41" s="11"/>
      <c r="D41" s="36"/>
      <c r="E41" s="3"/>
      <c r="N41" s="5"/>
      <c r="O41" s="5"/>
      <c r="P41" s="5"/>
      <c r="Q41" s="5"/>
      <c r="R41" s="5"/>
      <c r="S41" s="5"/>
      <c r="T41" s="5"/>
      <c r="U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2:47" ht="15.6" hidden="1" outlineLevel="1">
      <c r="D42" s="4"/>
      <c r="E42" s="3"/>
      <c r="S42" s="36"/>
      <c r="T42" s="36"/>
      <c r="U42" s="36"/>
      <c r="V42" s="36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2:47" ht="15.6" hidden="1" outlineLevel="1">
      <c r="B43" s="8" t="s">
        <v>120</v>
      </c>
      <c r="C43" s="110"/>
      <c r="D43" s="3"/>
      <c r="E43" s="110" t="s">
        <v>2</v>
      </c>
      <c r="F43" s="110" t="s">
        <v>180</v>
      </c>
      <c r="G43" s="110" t="s">
        <v>179</v>
      </c>
      <c r="R43" s="9"/>
      <c r="S43" s="9"/>
      <c r="T43" s="9"/>
      <c r="U43" s="9"/>
      <c r="V43" s="9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2:47" hidden="1" outlineLevel="1">
      <c r="B44" s="51" t="s">
        <v>13</v>
      </c>
      <c r="C44" s="111">
        <v>5.9999999999999995E-4</v>
      </c>
      <c r="D44" s="3"/>
      <c r="E44" s="3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2:47" ht="15.6" hidden="1" outlineLevel="1" thickBot="1">
      <c r="B45" s="51" t="s">
        <v>14</v>
      </c>
      <c r="C45" s="33">
        <v>1000000</v>
      </c>
      <c r="D45" s="3"/>
      <c r="E45" s="3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2:47" ht="16.2" hidden="1" outlineLevel="1" thickBot="1">
      <c r="B46" s="5" t="s">
        <v>55</v>
      </c>
      <c r="C46" s="127">
        <f>CHOOSE($C$1,E46,F46,G46)</f>
        <v>0.1</v>
      </c>
      <c r="D46" s="33"/>
      <c r="E46" s="108">
        <v>0.1</v>
      </c>
      <c r="F46" s="108">
        <v>7.4999999999999997E-2</v>
      </c>
      <c r="G46" s="108">
        <v>0.15</v>
      </c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2:47" ht="15.6" hidden="1" outlineLevel="1" thickBot="1">
      <c r="B47" s="5" t="s">
        <v>118</v>
      </c>
      <c r="C47" s="115">
        <v>30</v>
      </c>
      <c r="D47" s="3"/>
      <c r="E47" s="3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2:47" ht="16.2" hidden="1" outlineLevel="1" thickBot="1">
      <c r="B48" s="5" t="s">
        <v>169</v>
      </c>
      <c r="C48" s="127">
        <f>CHOOSE($C$1,E48,F48,G48)</f>
        <v>7.0000000000000007E-2</v>
      </c>
      <c r="D48" s="33"/>
      <c r="E48" s="108">
        <v>7.0000000000000007E-2</v>
      </c>
      <c r="F48" s="108">
        <f>C23</f>
        <v>5.7999999999999996E-2</v>
      </c>
      <c r="G48" s="108">
        <v>7.5399999999999995E-2</v>
      </c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2:47" hidden="1" outlineLevel="1">
      <c r="B49" s="5" t="s">
        <v>176</v>
      </c>
      <c r="C49" s="126">
        <v>0.25</v>
      </c>
      <c r="D49" s="3"/>
      <c r="E49" s="3"/>
      <c r="L49" s="9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2:47" s="53" customFormat="1" ht="15.6" hidden="1" outlineLevel="1">
      <c r="B50" s="5" t="s">
        <v>310</v>
      </c>
      <c r="C50" s="17">
        <v>45612</v>
      </c>
      <c r="D50" s="3"/>
      <c r="L50" s="364"/>
      <c r="M50" s="3"/>
      <c r="N50" s="3"/>
      <c r="O50" s="3"/>
    </row>
    <row r="51" spans="2:47" s="53" customFormat="1" ht="15.6" hidden="1" outlineLevel="1">
      <c r="B51" s="5" t="s">
        <v>378</v>
      </c>
      <c r="C51" s="475">
        <v>8.5000000000000006E-2</v>
      </c>
      <c r="D51" s="3"/>
      <c r="L51" s="364"/>
      <c r="M51" s="3"/>
      <c r="N51" s="3"/>
      <c r="O51" s="3"/>
    </row>
    <row r="52" spans="2:47" s="53" customFormat="1" ht="15.6" hidden="1" outlineLevel="1">
      <c r="B52" s="5"/>
      <c r="C52" s="17"/>
      <c r="D52" s="3"/>
      <c r="L52" s="364"/>
      <c r="M52" s="3"/>
      <c r="N52" s="3"/>
      <c r="O52" s="3"/>
    </row>
    <row r="53" spans="2:47" ht="15.6" hidden="1" outlineLevel="1">
      <c r="B53" s="8" t="s">
        <v>68</v>
      </c>
      <c r="C53" s="110"/>
      <c r="E53" s="3"/>
      <c r="N53" s="54"/>
      <c r="O53" s="54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2:47" ht="15.6" hidden="1" outlineLevel="1">
      <c r="B54" s="22" t="s">
        <v>69</v>
      </c>
      <c r="C54" s="17">
        <v>45442</v>
      </c>
      <c r="D54" s="3"/>
      <c r="E54" s="3"/>
      <c r="N54" s="54"/>
      <c r="O54" s="54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2:47" ht="15.6" hidden="1" outlineLevel="1">
      <c r="B55" s="22" t="s">
        <v>70</v>
      </c>
      <c r="C55" s="17">
        <v>45504</v>
      </c>
      <c r="D55" s="16"/>
      <c r="E55" s="3"/>
      <c r="N55" s="54"/>
      <c r="O55" s="54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2:47" ht="15.6" hidden="1" outlineLevel="1">
      <c r="B56" s="22" t="s">
        <v>71</v>
      </c>
      <c r="C56" s="17">
        <f>C55+31</f>
        <v>45535</v>
      </c>
      <c r="E56" s="3"/>
      <c r="O56" s="54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2:47" ht="15.6" hidden="1" outlineLevel="1">
      <c r="C57" s="31"/>
      <c r="E57" s="3"/>
      <c r="O57" s="54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2:47" ht="15.6" hidden="1" outlineLevel="1">
      <c r="B58" s="8" t="s">
        <v>112</v>
      </c>
      <c r="C58" s="18"/>
      <c r="E58" s="3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2:47" hidden="1" outlineLevel="1">
      <c r="B59" s="22" t="s">
        <v>74</v>
      </c>
      <c r="C59" s="29">
        <v>20000</v>
      </c>
      <c r="E59" s="3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2:47" ht="15.6" hidden="1" outlineLevel="1">
      <c r="B60" s="22" t="s">
        <v>73</v>
      </c>
      <c r="C60" s="29">
        <f>C59*105%</f>
        <v>21000</v>
      </c>
      <c r="E60" s="525" t="s">
        <v>313</v>
      </c>
      <c r="F60" s="526"/>
      <c r="G60" s="526"/>
      <c r="H60" s="527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2:47" ht="15.6" hidden="1" outlineLevel="1">
      <c r="B61" s="22" t="s">
        <v>72</v>
      </c>
      <c r="C61" s="29">
        <f>C60+C60-C59</f>
        <v>22000</v>
      </c>
      <c r="E61" s="316" t="s">
        <v>248</v>
      </c>
      <c r="F61" s="211" t="s">
        <v>181</v>
      </c>
      <c r="G61" s="332">
        <v>45473</v>
      </c>
      <c r="H61" s="333">
        <v>45565</v>
      </c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2:47" hidden="1" outlineLevel="1">
      <c r="B62" s="22" t="s">
        <v>233</v>
      </c>
      <c r="C62" s="29">
        <f>C61+C61-C60</f>
        <v>23000</v>
      </c>
      <c r="E62" s="352" t="s">
        <v>372</v>
      </c>
      <c r="F62" s="330"/>
      <c r="G62" s="312">
        <f>'Отчетность АО9 2024'!$E$43</f>
        <v>70000000</v>
      </c>
      <c r="H62" s="312">
        <f>'Отчетность АО9 2024'!$E$50</f>
        <v>70000000</v>
      </c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2:47" hidden="1" outlineLevel="1">
      <c r="E63" s="353" t="s">
        <v>373</v>
      </c>
      <c r="F63" s="330">
        <v>0.3</v>
      </c>
      <c r="G63" s="312">
        <f>'Отчетность АО9 2024'!$F$43</f>
        <v>286885</v>
      </c>
      <c r="H63" s="312">
        <f>'Отчетность АО9 2024'!$F$50</f>
        <v>5565573</v>
      </c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2:47" ht="15.6" hidden="1" outlineLevel="1">
      <c r="B64" s="8" t="s">
        <v>75</v>
      </c>
      <c r="C64" s="18"/>
      <c r="E64" s="353" t="s">
        <v>368</v>
      </c>
      <c r="F64" s="330"/>
      <c r="G64" s="312">
        <f>'Отчетность АО9 2024'!$E$42</f>
        <v>25000000</v>
      </c>
      <c r="H64" s="312">
        <f>'Отчетность АО9 2024'!$E$49</f>
        <v>25000000</v>
      </c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hidden="1" outlineLevel="1">
      <c r="B65" s="22" t="s">
        <v>76</v>
      </c>
      <c r="C65" s="29">
        <v>7570</v>
      </c>
      <c r="D65" s="3"/>
      <c r="E65" s="353" t="s">
        <v>369</v>
      </c>
      <c r="F65" s="330">
        <v>0.3</v>
      </c>
      <c r="G65" s="312">
        <f>'Отчетность АО9 2024'!$F$42</f>
        <v>81967</v>
      </c>
      <c r="H65" s="312">
        <f>'Отчетность АО9 2024'!$F$49</f>
        <v>1967213</v>
      </c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hidden="1" outlineLevel="1">
      <c r="B66" s="22" t="s">
        <v>77</v>
      </c>
      <c r="C66" s="29">
        <v>2786</v>
      </c>
      <c r="D66" s="16"/>
      <c r="E66" s="353" t="s">
        <v>376</v>
      </c>
      <c r="F66" s="330"/>
      <c r="G66" s="312">
        <f>'Отчетность АО9 2024'!$E$44</f>
        <v>410000</v>
      </c>
      <c r="H66" s="312">
        <v>0</v>
      </c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hidden="1" outlineLevel="1">
      <c r="B67" s="22" t="s">
        <v>78</v>
      </c>
      <c r="C67" s="52">
        <v>5000</v>
      </c>
      <c r="E67" s="354" t="s">
        <v>377</v>
      </c>
      <c r="F67" s="331"/>
      <c r="G67" s="312">
        <f>'Отчетность АО9 2024'!$F$44</f>
        <v>3532</v>
      </c>
      <c r="H67" s="312">
        <v>0</v>
      </c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hidden="1" outlineLevel="1">
      <c r="B68" s="22" t="s">
        <v>234</v>
      </c>
      <c r="C68" s="52">
        <v>5000</v>
      </c>
      <c r="E68" s="3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ht="15.6" hidden="1" outlineLevel="1">
      <c r="B69" s="49" t="s">
        <v>113</v>
      </c>
      <c r="C69" s="92">
        <f>SUM(C65:C68)</f>
        <v>20356</v>
      </c>
      <c r="E69" s="3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ht="15.6" hidden="1" outlineLevel="1">
      <c r="A70" s="55"/>
      <c r="C70" s="31"/>
      <c r="E70" s="311" t="s">
        <v>262</v>
      </c>
      <c r="F70" s="313">
        <v>0.04</v>
      </c>
      <c r="G70" s="314"/>
      <c r="H70" s="314"/>
      <c r="I70" s="314"/>
      <c r="J70" s="314"/>
      <c r="K70" s="315"/>
      <c r="M70" s="54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ht="15.6" hidden="1" outlineLevel="1">
      <c r="B71" s="8" t="s">
        <v>79</v>
      </c>
      <c r="C71" s="18"/>
      <c r="D71" s="3"/>
      <c r="E71" s="522" t="s">
        <v>311</v>
      </c>
      <c r="F71" s="523"/>
      <c r="G71" s="523"/>
      <c r="H71" s="523"/>
      <c r="I71" s="523"/>
      <c r="J71" s="523"/>
      <c r="K71" s="524"/>
      <c r="M71" s="54"/>
      <c r="W71" s="5"/>
      <c r="X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ht="15.6" hidden="1" outlineLevel="1">
      <c r="B72" s="22" t="s">
        <v>80</v>
      </c>
      <c r="C72" s="52">
        <f>C59*C65</f>
        <v>151400000</v>
      </c>
      <c r="D72" s="16"/>
      <c r="E72" s="316" t="s">
        <v>261</v>
      </c>
      <c r="F72" s="211" t="s">
        <v>260</v>
      </c>
      <c r="G72" s="213" t="s">
        <v>259</v>
      </c>
      <c r="H72" s="213" t="s">
        <v>257</v>
      </c>
      <c r="I72" s="212" t="s">
        <v>258</v>
      </c>
      <c r="J72" s="211" t="s">
        <v>256</v>
      </c>
      <c r="K72" s="317" t="s">
        <v>263</v>
      </c>
      <c r="M72" s="54"/>
      <c r="W72" s="5"/>
      <c r="X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ht="15.6" hidden="1" outlineLevel="1">
      <c r="B73" s="22" t="s">
        <v>81</v>
      </c>
      <c r="C73" s="52">
        <f>C60*C66</f>
        <v>58506000</v>
      </c>
      <c r="E73" s="318">
        <v>45471</v>
      </c>
      <c r="F73" s="319">
        <v>0</v>
      </c>
      <c r="G73" s="319">
        <v>2080000</v>
      </c>
      <c r="H73" s="319">
        <v>0</v>
      </c>
      <c r="I73" s="319">
        <v>2080000</v>
      </c>
      <c r="J73" s="319">
        <v>208000000</v>
      </c>
      <c r="K73" s="320" t="s">
        <v>137</v>
      </c>
      <c r="L73" s="214"/>
      <c r="M73" s="54"/>
      <c r="W73" s="5"/>
      <c r="X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ht="15.6" hidden="1" outlineLevel="1">
      <c r="B74" s="22" t="s">
        <v>82</v>
      </c>
      <c r="C74" s="52">
        <f>C61*C67</f>
        <v>110000000</v>
      </c>
      <c r="E74" s="318">
        <v>45502</v>
      </c>
      <c r="F74" s="319">
        <v>0</v>
      </c>
      <c r="G74" s="319">
        <v>1329836.06</v>
      </c>
      <c r="H74" s="319">
        <v>520000</v>
      </c>
      <c r="I74" s="321">
        <f>G74+H74</f>
        <v>1849836.06</v>
      </c>
      <c r="J74" s="319">
        <v>208000000</v>
      </c>
      <c r="K74" s="320" t="s">
        <v>137</v>
      </c>
      <c r="L74" s="214"/>
      <c r="M74" s="54"/>
      <c r="W74" s="5"/>
      <c r="X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ht="15.6" hidden="1" outlineLevel="1">
      <c r="B75" s="22" t="s">
        <v>235</v>
      </c>
      <c r="C75" s="52">
        <f>C62*C68</f>
        <v>115000000</v>
      </c>
      <c r="E75" s="318">
        <v>45532</v>
      </c>
      <c r="F75" s="319">
        <v>0</v>
      </c>
      <c r="G75" s="319">
        <v>3875846.99</v>
      </c>
      <c r="H75" s="319">
        <v>0</v>
      </c>
      <c r="I75" s="319">
        <v>3875846.99</v>
      </c>
      <c r="J75" s="319">
        <v>208000000</v>
      </c>
      <c r="K75" s="320" t="s">
        <v>137</v>
      </c>
      <c r="L75" s="214"/>
      <c r="M75" s="54"/>
      <c r="W75" s="5"/>
      <c r="X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ht="15.6" hidden="1" outlineLevel="1">
      <c r="B76" s="49" t="s">
        <v>83</v>
      </c>
      <c r="C76" s="92">
        <f>SUM(C72:C75)</f>
        <v>434906000</v>
      </c>
      <c r="E76" s="318">
        <v>45565</v>
      </c>
      <c r="F76" s="319">
        <v>19551196.690000001</v>
      </c>
      <c r="G76" s="319">
        <v>3949726.77</v>
      </c>
      <c r="H76" s="319">
        <v>0</v>
      </c>
      <c r="I76" s="319">
        <v>23500923.460000001</v>
      </c>
      <c r="J76" s="319">
        <v>188448803.31</v>
      </c>
      <c r="K76" s="320" t="s">
        <v>137</v>
      </c>
      <c r="L76" s="214"/>
      <c r="M76" s="54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ht="15.6" hidden="1" outlineLevel="1">
      <c r="E77" s="318">
        <v>45593</v>
      </c>
      <c r="F77" s="319">
        <v>19913329.82</v>
      </c>
      <c r="G77" s="319">
        <v>3587593.64</v>
      </c>
      <c r="H77" s="319">
        <v>0</v>
      </c>
      <c r="I77" s="319">
        <v>23500923.460000001</v>
      </c>
      <c r="J77" s="319">
        <v>168535473.49000001</v>
      </c>
      <c r="K77" s="320" t="s">
        <v>137</v>
      </c>
      <c r="L77" s="214"/>
      <c r="M77" s="54"/>
      <c r="Q77" s="54"/>
      <c r="R77" s="54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ht="15.6" hidden="1" outlineLevel="1">
      <c r="B78" s="8" t="s">
        <v>237</v>
      </c>
      <c r="C78" s="18"/>
      <c r="E78" s="318">
        <v>45624</v>
      </c>
      <c r="F78" s="47">
        <f>J77-J78</f>
        <v>19932207.830000013</v>
      </c>
      <c r="G78" s="322">
        <f>J77*(K78+$F$70)/366*_xlfn.DAYS(E78,E77)</f>
        <v>3568715.6271789619</v>
      </c>
      <c r="H78" s="319">
        <v>0</v>
      </c>
      <c r="I78" s="321">
        <f>F78+G78</f>
        <v>23500923.457178976</v>
      </c>
      <c r="J78" s="319">
        <v>148603265.66</v>
      </c>
      <c r="K78" s="323">
        <v>0.21</v>
      </c>
      <c r="L78" s="215">
        <v>19932207.829999998</v>
      </c>
      <c r="M78" s="215">
        <v>3568715.63</v>
      </c>
      <c r="Q78" s="54"/>
      <c r="R78" s="54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ht="15.6" hidden="1" outlineLevel="1">
      <c r="B79" s="5" t="s">
        <v>238</v>
      </c>
      <c r="C79" s="29">
        <f>30000*4</f>
        <v>120000</v>
      </c>
      <c r="E79" s="318">
        <v>45654</v>
      </c>
      <c r="F79" s="47">
        <f t="shared" ref="F79:F85" si="38">J78-J79</f>
        <v>148603265.66</v>
      </c>
      <c r="G79" s="322">
        <f>J78*(K79+$F$70)/366*_xlfn.DAYS(E79,E78)</f>
        <v>3045148.8864754098</v>
      </c>
      <c r="H79" s="319">
        <v>0</v>
      </c>
      <c r="I79" s="321">
        <f t="shared" ref="I79:I85" si="39">F79+G79</f>
        <v>151648414.54647541</v>
      </c>
      <c r="J79" s="319">
        <v>0</v>
      </c>
      <c r="K79" s="323">
        <v>0.21</v>
      </c>
      <c r="L79" s="215">
        <v>20455774.57</v>
      </c>
      <c r="M79" s="215">
        <v>3045148.89</v>
      </c>
      <c r="Q79" s="54"/>
      <c r="R79" s="54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ht="15.6" hidden="1" outlineLevel="1">
      <c r="B80" s="5" t="s">
        <v>239</v>
      </c>
      <c r="C80" s="29">
        <f>4740</f>
        <v>4740</v>
      </c>
      <c r="E80" s="318">
        <v>45685</v>
      </c>
      <c r="F80" s="47">
        <f>J79-J80</f>
        <v>0</v>
      </c>
      <c r="G80" s="322">
        <f t="shared" ref="G80:G85" si="40">J79*(K80+$F$70)/365*_xlfn.DAYS(E80,E79)</f>
        <v>0</v>
      </c>
      <c r="H80" s="319">
        <v>0</v>
      </c>
      <c r="I80" s="321">
        <f t="shared" si="39"/>
        <v>0</v>
      </c>
      <c r="J80" s="319">
        <v>0</v>
      </c>
      <c r="K80" s="323">
        <v>0.21</v>
      </c>
      <c r="L80" s="215">
        <v>20780703.030000001</v>
      </c>
      <c r="M80" s="215">
        <v>2720220.43</v>
      </c>
      <c r="Q80" s="54"/>
      <c r="R80" s="54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</row>
    <row r="81" spans="1:54" ht="15.6" hidden="1" outlineLevel="1">
      <c r="B81" s="5" t="s">
        <v>240</v>
      </c>
      <c r="C81" s="29">
        <f>2290</f>
        <v>2290</v>
      </c>
      <c r="E81" s="318">
        <v>45716</v>
      </c>
      <c r="F81" s="47">
        <f t="shared" si="38"/>
        <v>0</v>
      </c>
      <c r="G81" s="322">
        <f t="shared" si="40"/>
        <v>0</v>
      </c>
      <c r="H81" s="319">
        <v>0</v>
      </c>
      <c r="I81" s="321">
        <f t="shared" si="39"/>
        <v>0</v>
      </c>
      <c r="J81" s="319">
        <v>0</v>
      </c>
      <c r="K81" s="323">
        <v>0.21</v>
      </c>
      <c r="L81" s="215">
        <v>21221217.690000001</v>
      </c>
      <c r="M81" s="215">
        <v>2279705.77</v>
      </c>
      <c r="Q81" s="54"/>
      <c r="R81" s="54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</row>
    <row r="82" spans="1:54" ht="15.6" hidden="1" outlineLevel="1">
      <c r="B82" s="5" t="s">
        <v>241</v>
      </c>
      <c r="C82" s="29">
        <f>13800</f>
        <v>13800</v>
      </c>
      <c r="E82" s="318">
        <v>45744</v>
      </c>
      <c r="F82" s="47">
        <f>J81-J82</f>
        <v>0</v>
      </c>
      <c r="G82" s="322">
        <f t="shared" si="40"/>
        <v>0</v>
      </c>
      <c r="H82" s="319">
        <v>0</v>
      </c>
      <c r="I82" s="321">
        <f t="shared" si="39"/>
        <v>0</v>
      </c>
      <c r="J82" s="319">
        <v>0</v>
      </c>
      <c r="K82" s="323">
        <v>0.21</v>
      </c>
      <c r="L82" s="215">
        <v>21848816.629999999</v>
      </c>
      <c r="M82" s="215">
        <v>1652106.83</v>
      </c>
      <c r="N82" s="216">
        <f>J81-L82</f>
        <v>-21848816.629999999</v>
      </c>
      <c r="Q82" s="54"/>
      <c r="R82" s="54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</row>
    <row r="83" spans="1:54" ht="15.6" hidden="1" outlineLevel="1">
      <c r="B83" s="5" t="s">
        <v>242</v>
      </c>
      <c r="C83" s="29">
        <f>90000+70000</f>
        <v>160000</v>
      </c>
      <c r="E83" s="318">
        <v>45775</v>
      </c>
      <c r="F83" s="47">
        <f t="shared" si="38"/>
        <v>0</v>
      </c>
      <c r="G83" s="322">
        <f t="shared" si="40"/>
        <v>0</v>
      </c>
      <c r="H83" s="319">
        <v>0</v>
      </c>
      <c r="I83" s="321">
        <f t="shared" si="39"/>
        <v>0</v>
      </c>
      <c r="J83" s="319">
        <v>0</v>
      </c>
      <c r="K83" s="323">
        <v>0.21</v>
      </c>
      <c r="L83" s="215">
        <v>22135718.41</v>
      </c>
      <c r="M83" s="215">
        <v>1365205.05</v>
      </c>
      <c r="N83" s="216">
        <f>N82-L83</f>
        <v>-43984535.039999999</v>
      </c>
      <c r="Q83" s="54"/>
      <c r="R83" s="54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</row>
    <row r="84" spans="1:54" ht="15.6" hidden="1" outlineLevel="1">
      <c r="B84" s="5" t="s">
        <v>243</v>
      </c>
      <c r="C84" s="29">
        <f>700*12</f>
        <v>8400</v>
      </c>
      <c r="E84" s="318">
        <v>45805</v>
      </c>
      <c r="F84" s="47">
        <f t="shared" si="38"/>
        <v>0</v>
      </c>
      <c r="G84" s="322">
        <f t="shared" si="40"/>
        <v>0</v>
      </c>
      <c r="H84" s="319">
        <v>0</v>
      </c>
      <c r="I84" s="321">
        <f t="shared" si="39"/>
        <v>0</v>
      </c>
      <c r="J84" s="319">
        <v>0</v>
      </c>
      <c r="K84" s="323">
        <v>0.21</v>
      </c>
      <c r="L84" s="215">
        <v>22634600.82</v>
      </c>
      <c r="M84" s="215">
        <v>866322.64</v>
      </c>
      <c r="N84" s="216">
        <f>N83-L84</f>
        <v>-66619135.859999999</v>
      </c>
      <c r="Q84" s="54"/>
      <c r="R84" s="54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</row>
    <row r="85" spans="1:54" ht="15.6" hidden="1" outlineLevel="1">
      <c r="B85" s="49" t="s">
        <v>244</v>
      </c>
      <c r="C85" s="92">
        <f>SUM(C79:C84)</f>
        <v>309230</v>
      </c>
      <c r="E85" s="324">
        <v>45836</v>
      </c>
      <c r="F85" s="325">
        <f t="shared" si="38"/>
        <v>0</v>
      </c>
      <c r="G85" s="326">
        <f t="shared" si="40"/>
        <v>0</v>
      </c>
      <c r="H85" s="327">
        <v>0</v>
      </c>
      <c r="I85" s="328">
        <f t="shared" si="39"/>
        <v>0</v>
      </c>
      <c r="J85" s="327">
        <v>0</v>
      </c>
      <c r="K85" s="329">
        <v>0.21</v>
      </c>
      <c r="L85" s="215">
        <v>19526434.510000002</v>
      </c>
      <c r="M85" s="215">
        <v>414602.38</v>
      </c>
      <c r="N85" s="216">
        <f>N84-L85</f>
        <v>-86145570.370000005</v>
      </c>
      <c r="Q85" s="54"/>
      <c r="R85" s="54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</row>
    <row r="86" spans="1:54" ht="15.6" hidden="1" outlineLevel="1">
      <c r="A86" s="55"/>
      <c r="E86" s="3"/>
      <c r="G86" s="52"/>
      <c r="H86" s="52"/>
      <c r="O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</row>
    <row r="87" spans="1:54" ht="15.6" hidden="1" outlineLevel="1">
      <c r="B87" s="56" t="s">
        <v>51</v>
      </c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</row>
    <row r="88" spans="1:54" hidden="1" outlineLevel="1">
      <c r="B88" s="5" t="s">
        <v>16</v>
      </c>
      <c r="C88" s="11"/>
      <c r="D88" s="3"/>
      <c r="E88" s="11"/>
      <c r="F88" s="58">
        <f>YEAR(F90)</f>
        <v>2024</v>
      </c>
      <c r="G88" s="58">
        <f>YEAR(G90)</f>
        <v>2024</v>
      </c>
      <c r="H88" s="58">
        <f>YEAR(H90)</f>
        <v>2024</v>
      </c>
      <c r="I88" s="58">
        <f>YEAR(I90)</f>
        <v>2025</v>
      </c>
      <c r="J88" s="58">
        <f t="shared" ref="J88:AD88" si="41">YEAR(J90)</f>
        <v>2025</v>
      </c>
      <c r="K88" s="58">
        <f t="shared" si="41"/>
        <v>2025</v>
      </c>
      <c r="L88" s="58">
        <f t="shared" si="41"/>
        <v>2025</v>
      </c>
      <c r="M88" s="58">
        <f t="shared" si="41"/>
        <v>2026</v>
      </c>
      <c r="N88" s="58">
        <f t="shared" si="41"/>
        <v>2026</v>
      </c>
      <c r="O88" s="58">
        <f t="shared" si="41"/>
        <v>2026</v>
      </c>
      <c r="P88" s="58">
        <f t="shared" si="41"/>
        <v>2026</v>
      </c>
      <c r="Q88" s="58">
        <f t="shared" si="41"/>
        <v>2027</v>
      </c>
      <c r="R88" s="58">
        <f t="shared" si="41"/>
        <v>2027</v>
      </c>
      <c r="S88" s="58">
        <f t="shared" si="41"/>
        <v>2027</v>
      </c>
      <c r="T88" s="58">
        <f t="shared" si="41"/>
        <v>2027</v>
      </c>
      <c r="U88" s="58">
        <f t="shared" si="41"/>
        <v>2028</v>
      </c>
      <c r="V88" s="58">
        <f t="shared" si="41"/>
        <v>2028</v>
      </c>
      <c r="W88" s="58">
        <f t="shared" si="41"/>
        <v>2028</v>
      </c>
      <c r="X88" s="58">
        <f t="shared" si="41"/>
        <v>2028</v>
      </c>
      <c r="Y88" s="58">
        <f t="shared" si="41"/>
        <v>2029</v>
      </c>
      <c r="Z88" s="58">
        <f t="shared" si="41"/>
        <v>2029</v>
      </c>
      <c r="AA88" s="58">
        <f t="shared" si="41"/>
        <v>2029</v>
      </c>
      <c r="AB88" s="58">
        <f t="shared" si="41"/>
        <v>2029</v>
      </c>
      <c r="AC88" s="58">
        <f t="shared" si="41"/>
        <v>2030</v>
      </c>
      <c r="AD88" s="58">
        <f t="shared" si="41"/>
        <v>2030</v>
      </c>
      <c r="AE88" s="58">
        <f t="shared" ref="AE88:AT88" si="42">YEAR(AE90)</f>
        <v>2030</v>
      </c>
      <c r="AF88" s="58">
        <f t="shared" si="42"/>
        <v>2030</v>
      </c>
      <c r="AG88" s="58">
        <f t="shared" si="42"/>
        <v>2031</v>
      </c>
      <c r="AH88" s="58">
        <f t="shared" si="42"/>
        <v>2031</v>
      </c>
      <c r="AI88" s="58">
        <f t="shared" si="42"/>
        <v>2031</v>
      </c>
      <c r="AJ88" s="58">
        <f t="shared" si="42"/>
        <v>2031</v>
      </c>
      <c r="AK88" s="58">
        <f t="shared" si="42"/>
        <v>2032</v>
      </c>
      <c r="AL88" s="58">
        <f t="shared" si="42"/>
        <v>2032</v>
      </c>
      <c r="AM88" s="58">
        <f t="shared" si="42"/>
        <v>2032</v>
      </c>
      <c r="AN88" s="58">
        <f t="shared" si="42"/>
        <v>2032</v>
      </c>
      <c r="AO88" s="58">
        <f t="shared" si="42"/>
        <v>2033</v>
      </c>
      <c r="AP88" s="58">
        <f t="shared" si="42"/>
        <v>2033</v>
      </c>
      <c r="AQ88" s="58">
        <f t="shared" si="42"/>
        <v>2033</v>
      </c>
      <c r="AR88" s="58">
        <f t="shared" si="42"/>
        <v>2033</v>
      </c>
      <c r="AS88" s="58">
        <f t="shared" si="42"/>
        <v>2034</v>
      </c>
      <c r="AT88" s="58">
        <f t="shared" si="42"/>
        <v>2034</v>
      </c>
      <c r="AU88" s="58">
        <f t="shared" ref="AU88:BB88" si="43">YEAR(AU90)</f>
        <v>2034</v>
      </c>
      <c r="AV88" s="58">
        <f t="shared" si="43"/>
        <v>2034</v>
      </c>
      <c r="AW88" s="58">
        <f t="shared" si="43"/>
        <v>2035</v>
      </c>
      <c r="AX88" s="58">
        <f t="shared" si="43"/>
        <v>2035</v>
      </c>
      <c r="AY88" s="58">
        <f t="shared" si="43"/>
        <v>2035</v>
      </c>
      <c r="AZ88" s="58">
        <f t="shared" si="43"/>
        <v>2035</v>
      </c>
      <c r="BA88" s="58">
        <f t="shared" si="43"/>
        <v>2036</v>
      </c>
      <c r="BB88" s="58">
        <f t="shared" si="43"/>
        <v>2036</v>
      </c>
    </row>
    <row r="89" spans="1:54" hidden="1" outlineLevel="1">
      <c r="B89" s="5" t="s">
        <v>17</v>
      </c>
      <c r="C89" s="11"/>
      <c r="D89" s="59"/>
      <c r="E89" s="11"/>
      <c r="F89" s="33" t="s">
        <v>43</v>
      </c>
      <c r="G89" s="33" t="s">
        <v>49</v>
      </c>
      <c r="H89" s="33" t="s">
        <v>18</v>
      </c>
      <c r="I89" s="33" t="s">
        <v>35</v>
      </c>
      <c r="J89" s="9" t="str">
        <f>F89</f>
        <v>2 кв.</v>
      </c>
      <c r="K89" s="9" t="str">
        <f>G89</f>
        <v>3 кв.</v>
      </c>
      <c r="L89" s="9" t="str">
        <f t="shared" ref="L89:AD89" si="44">H89</f>
        <v>4 кв.</v>
      </c>
      <c r="M89" s="9" t="str">
        <f t="shared" si="44"/>
        <v>1 кв.</v>
      </c>
      <c r="N89" s="9" t="str">
        <f t="shared" si="44"/>
        <v>2 кв.</v>
      </c>
      <c r="O89" s="9" t="str">
        <f>K89</f>
        <v>3 кв.</v>
      </c>
      <c r="P89" s="9" t="str">
        <f>L89</f>
        <v>4 кв.</v>
      </c>
      <c r="Q89" s="9" t="str">
        <f>M89</f>
        <v>1 кв.</v>
      </c>
      <c r="R89" s="9" t="str">
        <f>N89</f>
        <v>2 кв.</v>
      </c>
      <c r="S89" s="9" t="str">
        <f t="shared" si="44"/>
        <v>3 кв.</v>
      </c>
      <c r="T89" s="9" t="str">
        <f t="shared" si="44"/>
        <v>4 кв.</v>
      </c>
      <c r="U89" s="9" t="str">
        <f t="shared" si="44"/>
        <v>1 кв.</v>
      </c>
      <c r="V89" s="9" t="str">
        <f t="shared" si="44"/>
        <v>2 кв.</v>
      </c>
      <c r="W89" s="9" t="str">
        <f t="shared" si="44"/>
        <v>3 кв.</v>
      </c>
      <c r="X89" s="9" t="str">
        <f t="shared" si="44"/>
        <v>4 кв.</v>
      </c>
      <c r="Y89" s="9" t="str">
        <f t="shared" si="44"/>
        <v>1 кв.</v>
      </c>
      <c r="Z89" s="9" t="str">
        <f t="shared" si="44"/>
        <v>2 кв.</v>
      </c>
      <c r="AA89" s="9" t="str">
        <f t="shared" si="44"/>
        <v>3 кв.</v>
      </c>
      <c r="AB89" s="9" t="str">
        <f t="shared" si="44"/>
        <v>4 кв.</v>
      </c>
      <c r="AC89" s="9" t="str">
        <f t="shared" si="44"/>
        <v>1 кв.</v>
      </c>
      <c r="AD89" s="9" t="str">
        <f t="shared" si="44"/>
        <v>2 кв.</v>
      </c>
      <c r="AE89" s="9" t="str">
        <f t="shared" ref="AE89" si="45">AA89</f>
        <v>3 кв.</v>
      </c>
      <c r="AF89" s="9" t="str">
        <f t="shared" ref="AF89" si="46">AB89</f>
        <v>4 кв.</v>
      </c>
      <c r="AG89" s="9" t="str">
        <f t="shared" ref="AG89" si="47">AC89</f>
        <v>1 кв.</v>
      </c>
      <c r="AH89" s="9" t="str">
        <f t="shared" ref="AH89" si="48">AD89</f>
        <v>2 кв.</v>
      </c>
      <c r="AI89" s="9" t="str">
        <f t="shared" ref="AI89" si="49">AE89</f>
        <v>3 кв.</v>
      </c>
      <c r="AJ89" s="9" t="str">
        <f t="shared" ref="AJ89" si="50">AF89</f>
        <v>4 кв.</v>
      </c>
      <c r="AK89" s="9" t="str">
        <f t="shared" ref="AK89" si="51">AG89</f>
        <v>1 кв.</v>
      </c>
      <c r="AL89" s="9" t="str">
        <f t="shared" ref="AL89" si="52">AH89</f>
        <v>2 кв.</v>
      </c>
      <c r="AM89" s="9" t="str">
        <f t="shared" ref="AM89" si="53">AI89</f>
        <v>3 кв.</v>
      </c>
      <c r="AN89" s="9" t="str">
        <f t="shared" ref="AN89" si="54">AJ89</f>
        <v>4 кв.</v>
      </c>
      <c r="AO89" s="9" t="str">
        <f t="shared" ref="AO89" si="55">AK89</f>
        <v>1 кв.</v>
      </c>
      <c r="AP89" s="9" t="str">
        <f t="shared" ref="AP89" si="56">AL89</f>
        <v>2 кв.</v>
      </c>
      <c r="AQ89" s="9" t="str">
        <f t="shared" ref="AQ89" si="57">AM89</f>
        <v>3 кв.</v>
      </c>
      <c r="AR89" s="9" t="str">
        <f t="shared" ref="AR89" si="58">AN89</f>
        <v>4 кв.</v>
      </c>
      <c r="AS89" s="9" t="str">
        <f t="shared" ref="AS89" si="59">AO89</f>
        <v>1 кв.</v>
      </c>
      <c r="AT89" s="9" t="str">
        <f t="shared" ref="AT89:AU89" si="60">AP89</f>
        <v>2 кв.</v>
      </c>
      <c r="AU89" s="9" t="str">
        <f t="shared" si="60"/>
        <v>3 кв.</v>
      </c>
      <c r="AV89" s="9" t="str">
        <f t="shared" ref="AV89" si="61">AR89</f>
        <v>4 кв.</v>
      </c>
      <c r="AW89" s="9" t="str">
        <f t="shared" ref="AW89" si="62">AS89</f>
        <v>1 кв.</v>
      </c>
      <c r="AX89" s="9" t="str">
        <f t="shared" ref="AX89" si="63">AT89</f>
        <v>2 кв.</v>
      </c>
      <c r="AY89" s="9" t="str">
        <f t="shared" ref="AY89" si="64">AU89</f>
        <v>3 кв.</v>
      </c>
      <c r="AZ89" s="9" t="str">
        <f t="shared" ref="AZ89" si="65">AV89</f>
        <v>4 кв.</v>
      </c>
      <c r="BA89" s="9" t="str">
        <f t="shared" ref="BA89" si="66">AW89</f>
        <v>1 кв.</v>
      </c>
      <c r="BB89" s="9" t="str">
        <f t="shared" ref="BB89" si="67">AX89</f>
        <v>2 кв.</v>
      </c>
    </row>
    <row r="90" spans="1:54" hidden="1" outlineLevel="1">
      <c r="B90" s="5" t="s">
        <v>36</v>
      </c>
      <c r="C90" s="11"/>
      <c r="E90" s="11"/>
      <c r="F90" s="43">
        <v>45473</v>
      </c>
      <c r="G90" s="61">
        <f>EOMONTH(F90,3)</f>
        <v>45565</v>
      </c>
      <c r="H90" s="43">
        <f>EOMONTH(G90,3)</f>
        <v>45657</v>
      </c>
      <c r="I90" s="43">
        <f>EOMONTH(H90,3)</f>
        <v>45747</v>
      </c>
      <c r="J90" s="43">
        <f t="shared" ref="J90:AD90" si="68">EOMONTH(I90,3)</f>
        <v>45838</v>
      </c>
      <c r="K90" s="43">
        <f t="shared" si="68"/>
        <v>45930</v>
      </c>
      <c r="L90" s="43">
        <f t="shared" si="68"/>
        <v>46022</v>
      </c>
      <c r="M90" s="43">
        <f t="shared" si="68"/>
        <v>46112</v>
      </c>
      <c r="N90" s="43">
        <f t="shared" si="68"/>
        <v>46203</v>
      </c>
      <c r="O90" s="43">
        <f>EOMONTH(N90,3)</f>
        <v>46295</v>
      </c>
      <c r="P90" s="43">
        <f t="shared" si="68"/>
        <v>46387</v>
      </c>
      <c r="Q90" s="43">
        <f t="shared" si="68"/>
        <v>46477</v>
      </c>
      <c r="R90" s="43">
        <f t="shared" si="68"/>
        <v>46568</v>
      </c>
      <c r="S90" s="43">
        <f t="shared" si="68"/>
        <v>46660</v>
      </c>
      <c r="T90" s="43">
        <f t="shared" si="68"/>
        <v>46752</v>
      </c>
      <c r="U90" s="43">
        <f t="shared" si="68"/>
        <v>46843</v>
      </c>
      <c r="V90" s="43">
        <f t="shared" si="68"/>
        <v>46934</v>
      </c>
      <c r="W90" s="43">
        <f>EOMONTH(V90,3)</f>
        <v>47026</v>
      </c>
      <c r="X90" s="43">
        <f t="shared" si="68"/>
        <v>47118</v>
      </c>
      <c r="Y90" s="43">
        <f t="shared" si="68"/>
        <v>47208</v>
      </c>
      <c r="Z90" s="43">
        <f t="shared" si="68"/>
        <v>47299</v>
      </c>
      <c r="AA90" s="43">
        <f t="shared" si="68"/>
        <v>47391</v>
      </c>
      <c r="AB90" s="43">
        <f t="shared" si="68"/>
        <v>47483</v>
      </c>
      <c r="AC90" s="43">
        <f t="shared" si="68"/>
        <v>47573</v>
      </c>
      <c r="AD90" s="43">
        <f t="shared" si="68"/>
        <v>47664</v>
      </c>
      <c r="AE90" s="43">
        <f t="shared" ref="AE90" si="69">EOMONTH(AD90,3)</f>
        <v>47756</v>
      </c>
      <c r="AF90" s="43">
        <f t="shared" ref="AF90" si="70">EOMONTH(AE90,3)</f>
        <v>47848</v>
      </c>
      <c r="AG90" s="43">
        <f t="shared" ref="AG90" si="71">EOMONTH(AF90,3)</f>
        <v>47938</v>
      </c>
      <c r="AH90" s="43">
        <f t="shared" ref="AH90" si="72">EOMONTH(AG90,3)</f>
        <v>48029</v>
      </c>
      <c r="AI90" s="43">
        <f t="shared" ref="AI90" si="73">EOMONTH(AH90,3)</f>
        <v>48121</v>
      </c>
      <c r="AJ90" s="43">
        <f t="shared" ref="AJ90" si="74">EOMONTH(AI90,3)</f>
        <v>48213</v>
      </c>
      <c r="AK90" s="43">
        <f t="shared" ref="AK90" si="75">EOMONTH(AJ90,3)</f>
        <v>48304</v>
      </c>
      <c r="AL90" s="43">
        <f t="shared" ref="AL90" si="76">EOMONTH(AK90,3)</f>
        <v>48395</v>
      </c>
      <c r="AM90" s="43">
        <f t="shared" ref="AM90" si="77">EOMONTH(AL90,3)</f>
        <v>48487</v>
      </c>
      <c r="AN90" s="43">
        <f t="shared" ref="AN90" si="78">EOMONTH(AM90,3)</f>
        <v>48579</v>
      </c>
      <c r="AO90" s="43">
        <f t="shared" ref="AO90" si="79">EOMONTH(AN90,3)</f>
        <v>48669</v>
      </c>
      <c r="AP90" s="43">
        <f t="shared" ref="AP90" si="80">EOMONTH(AO90,3)</f>
        <v>48760</v>
      </c>
      <c r="AQ90" s="43">
        <f t="shared" ref="AQ90" si="81">EOMONTH(AP90,3)</f>
        <v>48852</v>
      </c>
      <c r="AR90" s="43">
        <f t="shared" ref="AR90" si="82">EOMONTH(AQ90,3)</f>
        <v>48944</v>
      </c>
      <c r="AS90" s="43">
        <f t="shared" ref="AS90" si="83">EOMONTH(AR90,3)</f>
        <v>49034</v>
      </c>
      <c r="AT90" s="43">
        <f t="shared" ref="AT90:AU90" si="84">EOMONTH(AS90,3)</f>
        <v>49125</v>
      </c>
      <c r="AU90" s="43">
        <f t="shared" si="84"/>
        <v>49217</v>
      </c>
      <c r="AV90" s="43">
        <f t="shared" ref="AV90" si="85">EOMONTH(AU90,3)</f>
        <v>49309</v>
      </c>
      <c r="AW90" s="43">
        <f t="shared" ref="AW90" si="86">EOMONTH(AV90,3)</f>
        <v>49399</v>
      </c>
      <c r="AX90" s="43">
        <f t="shared" ref="AX90" si="87">EOMONTH(AW90,3)</f>
        <v>49490</v>
      </c>
      <c r="AY90" s="43">
        <f t="shared" ref="AY90" si="88">EOMONTH(AX90,3)</f>
        <v>49582</v>
      </c>
      <c r="AZ90" s="43">
        <f t="shared" ref="AZ90" si="89">EOMONTH(AY90,3)</f>
        <v>49674</v>
      </c>
      <c r="BA90" s="43">
        <f t="shared" ref="BA90" si="90">EOMONTH(AZ90,3)</f>
        <v>49765</v>
      </c>
      <c r="BB90" s="43">
        <f t="shared" ref="BB90" si="91">EOMONTH(BA90,3)</f>
        <v>49856</v>
      </c>
    </row>
    <row r="91" spans="1:54" hidden="1" outlineLevel="1">
      <c r="C91" s="11"/>
      <c r="E91" s="11"/>
      <c r="F91" s="43"/>
      <c r="G91" s="61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</row>
    <row r="92" spans="1:54" ht="15.6" hidden="1" outlineLevel="1">
      <c r="B92" s="56" t="s">
        <v>230</v>
      </c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</row>
    <row r="93" spans="1:54" hidden="1" outlineLevel="1">
      <c r="B93" s="5" t="s">
        <v>231</v>
      </c>
      <c r="C93" s="11"/>
      <c r="E93" s="11"/>
      <c r="F93" s="178">
        <f>SUM('Отчетность АО9 2024'!F36:H36)</f>
        <v>-1192333.33</v>
      </c>
      <c r="G93" s="178">
        <f>SUM('Отчетность АО9 2024'!I36:K36)</f>
        <v>1357047.91</v>
      </c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</row>
    <row r="94" spans="1:54" hidden="1" outlineLevel="1">
      <c r="C94" s="11"/>
      <c r="E94" s="11"/>
      <c r="F94" s="43"/>
      <c r="G94" s="61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</row>
    <row r="95" spans="1:54" ht="15.6" hidden="1" outlineLevel="1">
      <c r="B95" s="56" t="s">
        <v>312</v>
      </c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</row>
    <row r="96" spans="1:54" ht="9.75" hidden="1" customHeight="1" outlineLevel="1">
      <c r="F96" s="5"/>
      <c r="G96" s="5"/>
      <c r="H96" s="5"/>
      <c r="I96" s="5"/>
      <c r="J96" s="5"/>
      <c r="K96" s="5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</row>
    <row r="97" spans="2:54" s="53" customFormat="1" ht="15.6" hidden="1" outlineLevel="1">
      <c r="B97" s="337" t="s">
        <v>318</v>
      </c>
      <c r="C97" s="338"/>
      <c r="D97" s="338"/>
      <c r="E97" s="338"/>
      <c r="F97" s="338"/>
      <c r="G97" s="339">
        <f t="shared" ref="G97:AR97" si="92">G90</f>
        <v>45565</v>
      </c>
      <c r="H97" s="339">
        <f t="shared" si="92"/>
        <v>45657</v>
      </c>
      <c r="I97" s="339">
        <f t="shared" si="92"/>
        <v>45747</v>
      </c>
      <c r="J97" s="339">
        <f t="shared" si="92"/>
        <v>45838</v>
      </c>
      <c r="K97" s="339">
        <f t="shared" si="92"/>
        <v>45930</v>
      </c>
      <c r="L97" s="339">
        <f t="shared" si="92"/>
        <v>46022</v>
      </c>
      <c r="M97" s="339">
        <f t="shared" si="92"/>
        <v>46112</v>
      </c>
      <c r="N97" s="339">
        <f t="shared" si="92"/>
        <v>46203</v>
      </c>
      <c r="O97" s="339">
        <f t="shared" si="92"/>
        <v>46295</v>
      </c>
      <c r="P97" s="339">
        <f t="shared" si="92"/>
        <v>46387</v>
      </c>
      <c r="Q97" s="339">
        <f t="shared" si="92"/>
        <v>46477</v>
      </c>
      <c r="R97" s="339">
        <f t="shared" si="92"/>
        <v>46568</v>
      </c>
      <c r="S97" s="339">
        <f t="shared" si="92"/>
        <v>46660</v>
      </c>
      <c r="T97" s="339">
        <f t="shared" si="92"/>
        <v>46752</v>
      </c>
      <c r="U97" s="339">
        <f t="shared" si="92"/>
        <v>46843</v>
      </c>
      <c r="V97" s="339">
        <f t="shared" si="92"/>
        <v>46934</v>
      </c>
      <c r="W97" s="339">
        <f t="shared" si="92"/>
        <v>47026</v>
      </c>
      <c r="X97" s="339">
        <f t="shared" si="92"/>
        <v>47118</v>
      </c>
      <c r="Y97" s="339">
        <f t="shared" si="92"/>
        <v>47208</v>
      </c>
      <c r="Z97" s="339">
        <f t="shared" si="92"/>
        <v>47299</v>
      </c>
      <c r="AA97" s="339">
        <f t="shared" si="92"/>
        <v>47391</v>
      </c>
      <c r="AB97" s="339">
        <f t="shared" si="92"/>
        <v>47483</v>
      </c>
      <c r="AC97" s="339">
        <f t="shared" si="92"/>
        <v>47573</v>
      </c>
      <c r="AD97" s="339">
        <f t="shared" si="92"/>
        <v>47664</v>
      </c>
      <c r="AE97" s="339">
        <f t="shared" si="92"/>
        <v>47756</v>
      </c>
      <c r="AF97" s="339">
        <f t="shared" si="92"/>
        <v>47848</v>
      </c>
      <c r="AG97" s="339">
        <f t="shared" si="92"/>
        <v>47938</v>
      </c>
      <c r="AH97" s="339">
        <f t="shared" si="92"/>
        <v>48029</v>
      </c>
      <c r="AI97" s="339">
        <f t="shared" si="92"/>
        <v>48121</v>
      </c>
      <c r="AJ97" s="339">
        <f t="shared" si="92"/>
        <v>48213</v>
      </c>
      <c r="AK97" s="339">
        <f t="shared" si="92"/>
        <v>48304</v>
      </c>
      <c r="AL97" s="339">
        <f t="shared" si="92"/>
        <v>48395</v>
      </c>
      <c r="AM97" s="339">
        <f t="shared" si="92"/>
        <v>48487</v>
      </c>
      <c r="AN97" s="339">
        <f t="shared" si="92"/>
        <v>48579</v>
      </c>
      <c r="AO97" s="339">
        <f t="shared" si="92"/>
        <v>48669</v>
      </c>
      <c r="AP97" s="339">
        <f t="shared" si="92"/>
        <v>48760</v>
      </c>
      <c r="AQ97" s="339">
        <f t="shared" si="92"/>
        <v>48852</v>
      </c>
      <c r="AR97" s="339">
        <f t="shared" si="92"/>
        <v>48944</v>
      </c>
      <c r="AS97" s="339">
        <f t="shared" ref="AS97:BB97" si="93">AS90</f>
        <v>49034</v>
      </c>
      <c r="AT97" s="339">
        <f t="shared" si="93"/>
        <v>49125</v>
      </c>
      <c r="AU97" s="339">
        <f t="shared" si="93"/>
        <v>49217</v>
      </c>
      <c r="AV97" s="339">
        <f t="shared" si="93"/>
        <v>49309</v>
      </c>
      <c r="AW97" s="339">
        <f t="shared" si="93"/>
        <v>49399</v>
      </c>
      <c r="AX97" s="339">
        <f t="shared" si="93"/>
        <v>49490</v>
      </c>
      <c r="AY97" s="339">
        <f t="shared" si="93"/>
        <v>49582</v>
      </c>
      <c r="AZ97" s="339">
        <f t="shared" si="93"/>
        <v>49674</v>
      </c>
      <c r="BA97" s="339">
        <f t="shared" si="93"/>
        <v>49765</v>
      </c>
      <c r="BB97" s="339">
        <f t="shared" si="93"/>
        <v>49856</v>
      </c>
    </row>
    <row r="98" spans="2:54" ht="9" hidden="1" customHeight="1" outlineLevel="1">
      <c r="F98" s="5"/>
      <c r="G98" s="5"/>
      <c r="H98" s="5"/>
      <c r="I98" s="5"/>
      <c r="J98" s="5"/>
      <c r="K98" s="5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</row>
    <row r="99" spans="2:54" ht="15.6" hidden="1" outlineLevel="1">
      <c r="B99" s="340" t="s">
        <v>314</v>
      </c>
      <c r="C99" s="335"/>
      <c r="D99" s="335"/>
      <c r="E99" s="335"/>
      <c r="F99" s="335"/>
      <c r="G99" s="335"/>
      <c r="H99" s="335"/>
      <c r="I99" s="335"/>
      <c r="J99" s="335"/>
      <c r="K99" s="335"/>
      <c r="L99" s="336"/>
      <c r="M99" s="336"/>
      <c r="N99" s="336"/>
      <c r="O99" s="336"/>
      <c r="P99" s="336"/>
      <c r="Q99" s="336"/>
      <c r="R99" s="336"/>
      <c r="S99" s="336"/>
      <c r="T99" s="336"/>
      <c r="U99" s="336"/>
      <c r="V99" s="336"/>
      <c r="W99" s="336"/>
      <c r="X99" s="336"/>
      <c r="Y99" s="336"/>
      <c r="Z99" s="336"/>
      <c r="AA99" s="336"/>
      <c r="AB99" s="336"/>
      <c r="AC99" s="336"/>
      <c r="AD99" s="336"/>
      <c r="AE99" s="336"/>
      <c r="AF99" s="336"/>
      <c r="AG99" s="336"/>
      <c r="AH99" s="336"/>
      <c r="AI99" s="336"/>
      <c r="AJ99" s="336"/>
      <c r="AK99" s="336"/>
      <c r="AL99" s="336"/>
      <c r="AM99" s="336"/>
      <c r="AN99" s="336"/>
      <c r="AO99" s="336"/>
      <c r="AP99" s="336"/>
      <c r="AQ99" s="336"/>
      <c r="AR99" s="336"/>
      <c r="AS99" s="336"/>
      <c r="AT99" s="336"/>
      <c r="AU99" s="336"/>
      <c r="AV99" s="336"/>
      <c r="AW99" s="336"/>
      <c r="AX99" s="336"/>
      <c r="AY99" s="336"/>
      <c r="AZ99" s="336"/>
      <c r="BA99" s="336"/>
      <c r="BB99" s="336"/>
    </row>
    <row r="100" spans="2:54" ht="7.2" hidden="1" customHeight="1" outlineLevel="1">
      <c r="B100" s="346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</row>
    <row r="101" spans="2:54" hidden="1" outlineLevel="1">
      <c r="B101" s="334" t="s">
        <v>374</v>
      </c>
      <c r="F101" s="5"/>
      <c r="G101" s="5"/>
      <c r="H101" s="342">
        <f>G103</f>
        <v>70000000</v>
      </c>
      <c r="I101" s="342">
        <f>H103</f>
        <v>70000000</v>
      </c>
      <c r="J101" s="342">
        <f t="shared" ref="J101:AT101" si="94">I103</f>
        <v>0</v>
      </c>
      <c r="K101" s="342">
        <f t="shared" si="94"/>
        <v>0</v>
      </c>
      <c r="L101" s="342">
        <f t="shared" si="94"/>
        <v>0</v>
      </c>
      <c r="M101" s="342">
        <f t="shared" si="94"/>
        <v>0</v>
      </c>
      <c r="N101" s="342">
        <f t="shared" si="94"/>
        <v>0</v>
      </c>
      <c r="O101" s="342">
        <f t="shared" si="94"/>
        <v>0</v>
      </c>
      <c r="P101" s="342">
        <f t="shared" si="94"/>
        <v>0</v>
      </c>
      <c r="Q101" s="342">
        <f t="shared" si="94"/>
        <v>0</v>
      </c>
      <c r="R101" s="342">
        <f t="shared" si="94"/>
        <v>0</v>
      </c>
      <c r="S101" s="342">
        <f t="shared" si="94"/>
        <v>0</v>
      </c>
      <c r="T101" s="342">
        <f t="shared" si="94"/>
        <v>0</v>
      </c>
      <c r="U101" s="342">
        <f t="shared" si="94"/>
        <v>0</v>
      </c>
      <c r="V101" s="342">
        <f t="shared" si="94"/>
        <v>0</v>
      </c>
      <c r="W101" s="342">
        <f t="shared" si="94"/>
        <v>0</v>
      </c>
      <c r="X101" s="342">
        <f t="shared" si="94"/>
        <v>0</v>
      </c>
      <c r="Y101" s="342">
        <f t="shared" si="94"/>
        <v>0</v>
      </c>
      <c r="Z101" s="342">
        <f t="shared" si="94"/>
        <v>0</v>
      </c>
      <c r="AA101" s="342">
        <f t="shared" si="94"/>
        <v>0</v>
      </c>
      <c r="AB101" s="342">
        <f t="shared" si="94"/>
        <v>0</v>
      </c>
      <c r="AC101" s="342">
        <f t="shared" si="94"/>
        <v>0</v>
      </c>
      <c r="AD101" s="342">
        <f t="shared" si="94"/>
        <v>0</v>
      </c>
      <c r="AE101" s="342">
        <f t="shared" si="94"/>
        <v>0</v>
      </c>
      <c r="AF101" s="342">
        <f t="shared" si="94"/>
        <v>0</v>
      </c>
      <c r="AG101" s="342">
        <f t="shared" si="94"/>
        <v>0</v>
      </c>
      <c r="AH101" s="342">
        <f t="shared" si="94"/>
        <v>0</v>
      </c>
      <c r="AI101" s="342">
        <f t="shared" si="94"/>
        <v>0</v>
      </c>
      <c r="AJ101" s="342">
        <f t="shared" si="94"/>
        <v>0</v>
      </c>
      <c r="AK101" s="342">
        <f t="shared" si="94"/>
        <v>0</v>
      </c>
      <c r="AL101" s="342">
        <f t="shared" si="94"/>
        <v>0</v>
      </c>
      <c r="AM101" s="342">
        <f t="shared" si="94"/>
        <v>0</v>
      </c>
      <c r="AN101" s="342">
        <f t="shared" si="94"/>
        <v>0</v>
      </c>
      <c r="AO101" s="342">
        <f t="shared" si="94"/>
        <v>0</v>
      </c>
      <c r="AP101" s="342">
        <f t="shared" si="94"/>
        <v>0</v>
      </c>
      <c r="AQ101" s="342">
        <f t="shared" si="94"/>
        <v>0</v>
      </c>
      <c r="AR101" s="342">
        <f t="shared" si="94"/>
        <v>0</v>
      </c>
      <c r="AS101" s="342">
        <f t="shared" si="94"/>
        <v>0</v>
      </c>
      <c r="AT101" s="342">
        <f t="shared" si="94"/>
        <v>0</v>
      </c>
      <c r="AU101" s="342">
        <f t="shared" ref="AU101:BB101" si="95">AT103</f>
        <v>0</v>
      </c>
      <c r="AV101" s="342">
        <f t="shared" si="95"/>
        <v>0</v>
      </c>
      <c r="AW101" s="342">
        <f t="shared" si="95"/>
        <v>0</v>
      </c>
      <c r="AX101" s="342">
        <f t="shared" si="95"/>
        <v>0</v>
      </c>
      <c r="AY101" s="342">
        <f t="shared" si="95"/>
        <v>0</v>
      </c>
      <c r="AZ101" s="342">
        <f t="shared" si="95"/>
        <v>0</v>
      </c>
      <c r="BA101" s="342">
        <f t="shared" si="95"/>
        <v>0</v>
      </c>
      <c r="BB101" s="342">
        <f t="shared" si="95"/>
        <v>0</v>
      </c>
    </row>
    <row r="102" spans="2:54" ht="15.6" hidden="1" outlineLevel="1">
      <c r="B102" s="347" t="s">
        <v>316</v>
      </c>
      <c r="F102" s="5"/>
      <c r="G102" s="5"/>
      <c r="H102" s="343">
        <v>0</v>
      </c>
      <c r="I102" s="343">
        <f>I101</f>
        <v>70000000</v>
      </c>
      <c r="J102" s="343">
        <v>0</v>
      </c>
      <c r="K102" s="343">
        <v>0</v>
      </c>
      <c r="L102" s="343">
        <v>0</v>
      </c>
      <c r="M102" s="343">
        <v>0</v>
      </c>
      <c r="N102" s="343">
        <v>0</v>
      </c>
      <c r="O102" s="343">
        <v>0</v>
      </c>
      <c r="P102" s="343">
        <v>0</v>
      </c>
      <c r="Q102" s="343">
        <v>0</v>
      </c>
      <c r="R102" s="343">
        <v>0</v>
      </c>
      <c r="S102" s="343">
        <v>0</v>
      </c>
      <c r="T102" s="343">
        <v>0</v>
      </c>
      <c r="U102" s="343">
        <v>0</v>
      </c>
      <c r="V102" s="343">
        <v>0</v>
      </c>
      <c r="W102" s="343">
        <v>0</v>
      </c>
      <c r="X102" s="343">
        <v>0</v>
      </c>
      <c r="Y102" s="343">
        <v>0</v>
      </c>
      <c r="Z102" s="343">
        <v>0</v>
      </c>
      <c r="AA102" s="343">
        <v>0</v>
      </c>
      <c r="AB102" s="343">
        <v>0</v>
      </c>
      <c r="AC102" s="343">
        <v>0</v>
      </c>
      <c r="AD102" s="343">
        <v>0</v>
      </c>
      <c r="AE102" s="343">
        <v>0</v>
      </c>
      <c r="AF102" s="343">
        <v>0</v>
      </c>
      <c r="AG102" s="343">
        <v>0</v>
      </c>
      <c r="AH102" s="343">
        <v>0</v>
      </c>
      <c r="AI102" s="343">
        <v>0</v>
      </c>
      <c r="AJ102" s="343">
        <v>0</v>
      </c>
      <c r="AK102" s="343">
        <v>0</v>
      </c>
      <c r="AL102" s="343">
        <v>0</v>
      </c>
      <c r="AM102" s="343">
        <v>0</v>
      </c>
      <c r="AN102" s="343">
        <v>0</v>
      </c>
      <c r="AO102" s="343">
        <v>0</v>
      </c>
      <c r="AP102" s="343">
        <v>0</v>
      </c>
      <c r="AQ102" s="343">
        <v>0</v>
      </c>
      <c r="AR102" s="343">
        <v>0</v>
      </c>
      <c r="AS102" s="343">
        <v>0</v>
      </c>
      <c r="AT102" s="343">
        <v>0</v>
      </c>
      <c r="AU102" s="343">
        <v>0</v>
      </c>
      <c r="AV102" s="343">
        <v>0</v>
      </c>
      <c r="AW102" s="343">
        <v>0</v>
      </c>
      <c r="AX102" s="343">
        <v>0</v>
      </c>
      <c r="AY102" s="343">
        <v>0</v>
      </c>
      <c r="AZ102" s="343">
        <v>0</v>
      </c>
      <c r="BA102" s="343">
        <v>0</v>
      </c>
      <c r="BB102" s="343">
        <v>0</v>
      </c>
    </row>
    <row r="103" spans="2:54" s="53" customFormat="1" ht="15.6" hidden="1" outlineLevel="1">
      <c r="B103" s="348" t="s">
        <v>375</v>
      </c>
      <c r="G103" s="341">
        <f>H62</f>
        <v>70000000</v>
      </c>
      <c r="H103" s="344">
        <f>H101-H102</f>
        <v>70000000</v>
      </c>
      <c r="I103" s="344">
        <f>I101-I102</f>
        <v>0</v>
      </c>
      <c r="J103" s="344">
        <f t="shared" ref="J103:AU103" si="96">J101-J102</f>
        <v>0</v>
      </c>
      <c r="K103" s="344">
        <f t="shared" si="96"/>
        <v>0</v>
      </c>
      <c r="L103" s="344">
        <f t="shared" si="96"/>
        <v>0</v>
      </c>
      <c r="M103" s="344">
        <f t="shared" si="96"/>
        <v>0</v>
      </c>
      <c r="N103" s="344">
        <f t="shared" si="96"/>
        <v>0</v>
      </c>
      <c r="O103" s="344">
        <f t="shared" si="96"/>
        <v>0</v>
      </c>
      <c r="P103" s="344">
        <f t="shared" si="96"/>
        <v>0</v>
      </c>
      <c r="Q103" s="344">
        <f t="shared" si="96"/>
        <v>0</v>
      </c>
      <c r="R103" s="344">
        <f t="shared" si="96"/>
        <v>0</v>
      </c>
      <c r="S103" s="344">
        <f t="shared" si="96"/>
        <v>0</v>
      </c>
      <c r="T103" s="344">
        <f t="shared" si="96"/>
        <v>0</v>
      </c>
      <c r="U103" s="344">
        <f t="shared" si="96"/>
        <v>0</v>
      </c>
      <c r="V103" s="344">
        <f t="shared" si="96"/>
        <v>0</v>
      </c>
      <c r="W103" s="344">
        <f t="shared" si="96"/>
        <v>0</v>
      </c>
      <c r="X103" s="344">
        <f t="shared" si="96"/>
        <v>0</v>
      </c>
      <c r="Y103" s="344">
        <f t="shared" si="96"/>
        <v>0</v>
      </c>
      <c r="Z103" s="344">
        <f t="shared" si="96"/>
        <v>0</v>
      </c>
      <c r="AA103" s="344">
        <f t="shared" si="96"/>
        <v>0</v>
      </c>
      <c r="AB103" s="344">
        <f t="shared" si="96"/>
        <v>0</v>
      </c>
      <c r="AC103" s="344">
        <f t="shared" si="96"/>
        <v>0</v>
      </c>
      <c r="AD103" s="344">
        <f t="shared" si="96"/>
        <v>0</v>
      </c>
      <c r="AE103" s="344">
        <f t="shared" si="96"/>
        <v>0</v>
      </c>
      <c r="AF103" s="344">
        <f t="shared" si="96"/>
        <v>0</v>
      </c>
      <c r="AG103" s="344">
        <f t="shared" si="96"/>
        <v>0</v>
      </c>
      <c r="AH103" s="344">
        <f t="shared" si="96"/>
        <v>0</v>
      </c>
      <c r="AI103" s="344">
        <f t="shared" si="96"/>
        <v>0</v>
      </c>
      <c r="AJ103" s="344">
        <f t="shared" si="96"/>
        <v>0</v>
      </c>
      <c r="AK103" s="344">
        <f t="shared" si="96"/>
        <v>0</v>
      </c>
      <c r="AL103" s="344">
        <f t="shared" si="96"/>
        <v>0</v>
      </c>
      <c r="AM103" s="344">
        <f t="shared" si="96"/>
        <v>0</v>
      </c>
      <c r="AN103" s="344">
        <f t="shared" si="96"/>
        <v>0</v>
      </c>
      <c r="AO103" s="344">
        <f t="shared" si="96"/>
        <v>0</v>
      </c>
      <c r="AP103" s="344">
        <f t="shared" si="96"/>
        <v>0</v>
      </c>
      <c r="AQ103" s="344">
        <f t="shared" si="96"/>
        <v>0</v>
      </c>
      <c r="AR103" s="344">
        <f t="shared" si="96"/>
        <v>0</v>
      </c>
      <c r="AS103" s="344">
        <f t="shared" si="96"/>
        <v>0</v>
      </c>
      <c r="AT103" s="344">
        <f t="shared" si="96"/>
        <v>0</v>
      </c>
      <c r="AU103" s="344">
        <f t="shared" si="96"/>
        <v>0</v>
      </c>
      <c r="AV103" s="344">
        <f t="shared" ref="AV103" si="97">AV101-AV102</f>
        <v>0</v>
      </c>
      <c r="AW103" s="344">
        <f t="shared" ref="AW103" si="98">AW101-AW102</f>
        <v>0</v>
      </c>
      <c r="AX103" s="344">
        <f t="shared" ref="AX103" si="99">AX101-AX102</f>
        <v>0</v>
      </c>
      <c r="AY103" s="344">
        <f t="shared" ref="AY103" si="100">AY101-AY102</f>
        <v>0</v>
      </c>
      <c r="AZ103" s="344">
        <f t="shared" ref="AZ103" si="101">AZ101-AZ102</f>
        <v>0</v>
      </c>
      <c r="BA103" s="344">
        <f t="shared" ref="BA103" si="102">BA101-BA102</f>
        <v>0</v>
      </c>
      <c r="BB103" s="344">
        <f t="shared" ref="BB103" si="103">BB101-BB102</f>
        <v>0</v>
      </c>
    </row>
    <row r="104" spans="2:54" hidden="1" outlineLevel="1">
      <c r="B104" s="334"/>
      <c r="F104" s="5"/>
      <c r="G104" s="5"/>
      <c r="H104" s="5"/>
      <c r="I104" s="5"/>
      <c r="J104" s="5"/>
      <c r="K104" s="5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</row>
    <row r="105" spans="2:54" hidden="1" outlineLevel="1">
      <c r="B105" s="334" t="s">
        <v>370</v>
      </c>
      <c r="F105" s="5"/>
      <c r="G105" s="5"/>
      <c r="H105" s="342">
        <f>G107</f>
        <v>25000000</v>
      </c>
      <c r="I105" s="342">
        <f>H107</f>
        <v>0</v>
      </c>
      <c r="J105" s="342">
        <f>I107</f>
        <v>0</v>
      </c>
      <c r="K105" s="342">
        <f t="shared" ref="K105:AT105" si="104">J107</f>
        <v>0</v>
      </c>
      <c r="L105" s="342">
        <f t="shared" si="104"/>
        <v>0</v>
      </c>
      <c r="M105" s="342">
        <f t="shared" si="104"/>
        <v>0</v>
      </c>
      <c r="N105" s="342">
        <f t="shared" si="104"/>
        <v>0</v>
      </c>
      <c r="O105" s="342">
        <f t="shared" si="104"/>
        <v>0</v>
      </c>
      <c r="P105" s="342">
        <f t="shared" si="104"/>
        <v>0</v>
      </c>
      <c r="Q105" s="342">
        <f t="shared" si="104"/>
        <v>0</v>
      </c>
      <c r="R105" s="342">
        <f t="shared" si="104"/>
        <v>0</v>
      </c>
      <c r="S105" s="342">
        <f t="shared" si="104"/>
        <v>0</v>
      </c>
      <c r="T105" s="342">
        <f t="shared" si="104"/>
        <v>0</v>
      </c>
      <c r="U105" s="342">
        <f t="shared" si="104"/>
        <v>0</v>
      </c>
      <c r="V105" s="342">
        <f t="shared" si="104"/>
        <v>0</v>
      </c>
      <c r="W105" s="342">
        <f t="shared" si="104"/>
        <v>0</v>
      </c>
      <c r="X105" s="342">
        <f t="shared" si="104"/>
        <v>0</v>
      </c>
      <c r="Y105" s="342">
        <f t="shared" si="104"/>
        <v>0</v>
      </c>
      <c r="Z105" s="342">
        <f t="shared" si="104"/>
        <v>0</v>
      </c>
      <c r="AA105" s="342">
        <f t="shared" si="104"/>
        <v>0</v>
      </c>
      <c r="AB105" s="342">
        <f t="shared" si="104"/>
        <v>0</v>
      </c>
      <c r="AC105" s="342">
        <f t="shared" si="104"/>
        <v>0</v>
      </c>
      <c r="AD105" s="342">
        <f t="shared" si="104"/>
        <v>0</v>
      </c>
      <c r="AE105" s="342">
        <f t="shared" si="104"/>
        <v>0</v>
      </c>
      <c r="AF105" s="342">
        <f t="shared" si="104"/>
        <v>0</v>
      </c>
      <c r="AG105" s="342">
        <f t="shared" si="104"/>
        <v>0</v>
      </c>
      <c r="AH105" s="342">
        <f t="shared" si="104"/>
        <v>0</v>
      </c>
      <c r="AI105" s="342">
        <f t="shared" si="104"/>
        <v>0</v>
      </c>
      <c r="AJ105" s="342">
        <f t="shared" si="104"/>
        <v>0</v>
      </c>
      <c r="AK105" s="342">
        <f t="shared" si="104"/>
        <v>0</v>
      </c>
      <c r="AL105" s="342">
        <f t="shared" si="104"/>
        <v>0</v>
      </c>
      <c r="AM105" s="342">
        <f t="shared" si="104"/>
        <v>0</v>
      </c>
      <c r="AN105" s="342">
        <f t="shared" si="104"/>
        <v>0</v>
      </c>
      <c r="AO105" s="342">
        <f t="shared" si="104"/>
        <v>0</v>
      </c>
      <c r="AP105" s="342">
        <f t="shared" si="104"/>
        <v>0</v>
      </c>
      <c r="AQ105" s="342">
        <f t="shared" si="104"/>
        <v>0</v>
      </c>
      <c r="AR105" s="342">
        <f t="shared" si="104"/>
        <v>0</v>
      </c>
      <c r="AS105" s="342">
        <f t="shared" si="104"/>
        <v>0</v>
      </c>
      <c r="AT105" s="342">
        <f t="shared" si="104"/>
        <v>0</v>
      </c>
      <c r="AU105" s="342">
        <f t="shared" ref="AU105:BB105" si="105">AT107</f>
        <v>0</v>
      </c>
      <c r="AV105" s="342">
        <f t="shared" si="105"/>
        <v>0</v>
      </c>
      <c r="AW105" s="342">
        <f t="shared" si="105"/>
        <v>0</v>
      </c>
      <c r="AX105" s="342">
        <f t="shared" si="105"/>
        <v>0</v>
      </c>
      <c r="AY105" s="342">
        <f t="shared" si="105"/>
        <v>0</v>
      </c>
      <c r="AZ105" s="342">
        <f t="shared" si="105"/>
        <v>0</v>
      </c>
      <c r="BA105" s="342">
        <f t="shared" si="105"/>
        <v>0</v>
      </c>
      <c r="BB105" s="342">
        <f t="shared" si="105"/>
        <v>0</v>
      </c>
    </row>
    <row r="106" spans="2:54" ht="15.6" hidden="1" outlineLevel="1">
      <c r="B106" s="347" t="s">
        <v>316</v>
      </c>
      <c r="F106" s="5"/>
      <c r="G106" s="5"/>
      <c r="H106" s="343">
        <f>H105</f>
        <v>25000000</v>
      </c>
      <c r="I106" s="343">
        <f>I105</f>
        <v>0</v>
      </c>
      <c r="J106" s="343">
        <v>0</v>
      </c>
      <c r="K106" s="343">
        <v>0</v>
      </c>
      <c r="L106" s="343">
        <v>0</v>
      </c>
      <c r="M106" s="343">
        <v>0</v>
      </c>
      <c r="N106" s="343">
        <v>0</v>
      </c>
      <c r="O106" s="343">
        <v>0</v>
      </c>
      <c r="P106" s="343">
        <v>0</v>
      </c>
      <c r="Q106" s="343">
        <v>0</v>
      </c>
      <c r="R106" s="343">
        <v>0</v>
      </c>
      <c r="S106" s="343">
        <v>0</v>
      </c>
      <c r="T106" s="343">
        <v>0</v>
      </c>
      <c r="U106" s="343">
        <v>0</v>
      </c>
      <c r="V106" s="343">
        <v>0</v>
      </c>
      <c r="W106" s="343">
        <v>0</v>
      </c>
      <c r="X106" s="343">
        <v>0</v>
      </c>
      <c r="Y106" s="343">
        <v>0</v>
      </c>
      <c r="Z106" s="343">
        <v>0</v>
      </c>
      <c r="AA106" s="343">
        <v>0</v>
      </c>
      <c r="AB106" s="343">
        <v>0</v>
      </c>
      <c r="AC106" s="343">
        <v>0</v>
      </c>
      <c r="AD106" s="343">
        <v>0</v>
      </c>
      <c r="AE106" s="343">
        <v>0</v>
      </c>
      <c r="AF106" s="343">
        <v>0</v>
      </c>
      <c r="AG106" s="343">
        <v>0</v>
      </c>
      <c r="AH106" s="343">
        <v>0</v>
      </c>
      <c r="AI106" s="343">
        <v>0</v>
      </c>
      <c r="AJ106" s="343">
        <v>0</v>
      </c>
      <c r="AK106" s="343">
        <v>0</v>
      </c>
      <c r="AL106" s="343">
        <v>0</v>
      </c>
      <c r="AM106" s="343">
        <v>0</v>
      </c>
      <c r="AN106" s="343">
        <v>0</v>
      </c>
      <c r="AO106" s="343">
        <v>0</v>
      </c>
      <c r="AP106" s="343">
        <v>0</v>
      </c>
      <c r="AQ106" s="343">
        <v>0</v>
      </c>
      <c r="AR106" s="343">
        <v>0</v>
      </c>
      <c r="AS106" s="343">
        <v>0</v>
      </c>
      <c r="AT106" s="343">
        <v>0</v>
      </c>
      <c r="AU106" s="343">
        <v>0</v>
      </c>
      <c r="AV106" s="343">
        <v>0</v>
      </c>
      <c r="AW106" s="343">
        <v>0</v>
      </c>
      <c r="AX106" s="343">
        <v>0</v>
      </c>
      <c r="AY106" s="343">
        <v>0</v>
      </c>
      <c r="AZ106" s="343">
        <v>0</v>
      </c>
      <c r="BA106" s="343">
        <v>0</v>
      </c>
      <c r="BB106" s="343">
        <v>0</v>
      </c>
    </row>
    <row r="107" spans="2:54" s="53" customFormat="1" ht="15.6" hidden="1" outlineLevel="1">
      <c r="B107" s="348" t="s">
        <v>371</v>
      </c>
      <c r="G107" s="341">
        <f>H64</f>
        <v>25000000</v>
      </c>
      <c r="H107" s="344">
        <f>H105-H106</f>
        <v>0</v>
      </c>
      <c r="I107" s="344">
        <f>I105-I106</f>
        <v>0</v>
      </c>
      <c r="J107" s="344">
        <f>J105-J106</f>
        <v>0</v>
      </c>
      <c r="K107" s="344">
        <f t="shared" ref="K107:AU107" si="106">K105-K106</f>
        <v>0</v>
      </c>
      <c r="L107" s="344">
        <f t="shared" si="106"/>
        <v>0</v>
      </c>
      <c r="M107" s="344">
        <f t="shared" si="106"/>
        <v>0</v>
      </c>
      <c r="N107" s="344">
        <f t="shared" si="106"/>
        <v>0</v>
      </c>
      <c r="O107" s="344">
        <f t="shared" si="106"/>
        <v>0</v>
      </c>
      <c r="P107" s="344">
        <f t="shared" si="106"/>
        <v>0</v>
      </c>
      <c r="Q107" s="344">
        <f t="shared" si="106"/>
        <v>0</v>
      </c>
      <c r="R107" s="344">
        <f t="shared" si="106"/>
        <v>0</v>
      </c>
      <c r="S107" s="344">
        <f t="shared" si="106"/>
        <v>0</v>
      </c>
      <c r="T107" s="344">
        <f t="shared" si="106"/>
        <v>0</v>
      </c>
      <c r="U107" s="344">
        <f t="shared" si="106"/>
        <v>0</v>
      </c>
      <c r="V107" s="344">
        <f t="shared" si="106"/>
        <v>0</v>
      </c>
      <c r="W107" s="344">
        <f t="shared" si="106"/>
        <v>0</v>
      </c>
      <c r="X107" s="344">
        <f t="shared" si="106"/>
        <v>0</v>
      </c>
      <c r="Y107" s="344">
        <f t="shared" si="106"/>
        <v>0</v>
      </c>
      <c r="Z107" s="344">
        <f t="shared" si="106"/>
        <v>0</v>
      </c>
      <c r="AA107" s="344">
        <f t="shared" si="106"/>
        <v>0</v>
      </c>
      <c r="AB107" s="344">
        <f t="shared" si="106"/>
        <v>0</v>
      </c>
      <c r="AC107" s="344">
        <f t="shared" si="106"/>
        <v>0</v>
      </c>
      <c r="AD107" s="344">
        <f t="shared" si="106"/>
        <v>0</v>
      </c>
      <c r="AE107" s="344">
        <f t="shared" si="106"/>
        <v>0</v>
      </c>
      <c r="AF107" s="344">
        <f t="shared" si="106"/>
        <v>0</v>
      </c>
      <c r="AG107" s="344">
        <f t="shared" si="106"/>
        <v>0</v>
      </c>
      <c r="AH107" s="344">
        <f t="shared" si="106"/>
        <v>0</v>
      </c>
      <c r="AI107" s="344">
        <f t="shared" si="106"/>
        <v>0</v>
      </c>
      <c r="AJ107" s="344">
        <f t="shared" si="106"/>
        <v>0</v>
      </c>
      <c r="AK107" s="344">
        <f t="shared" si="106"/>
        <v>0</v>
      </c>
      <c r="AL107" s="344">
        <f t="shared" si="106"/>
        <v>0</v>
      </c>
      <c r="AM107" s="344">
        <f t="shared" si="106"/>
        <v>0</v>
      </c>
      <c r="AN107" s="344">
        <f t="shared" si="106"/>
        <v>0</v>
      </c>
      <c r="AO107" s="344">
        <f t="shared" si="106"/>
        <v>0</v>
      </c>
      <c r="AP107" s="344">
        <f t="shared" si="106"/>
        <v>0</v>
      </c>
      <c r="AQ107" s="344">
        <f t="shared" si="106"/>
        <v>0</v>
      </c>
      <c r="AR107" s="344">
        <f t="shared" si="106"/>
        <v>0</v>
      </c>
      <c r="AS107" s="344">
        <f t="shared" si="106"/>
        <v>0</v>
      </c>
      <c r="AT107" s="344">
        <f t="shared" si="106"/>
        <v>0</v>
      </c>
      <c r="AU107" s="344">
        <f t="shared" si="106"/>
        <v>0</v>
      </c>
      <c r="AV107" s="344">
        <f t="shared" ref="AV107" si="107">AV105-AV106</f>
        <v>0</v>
      </c>
      <c r="AW107" s="344">
        <f t="shared" ref="AW107" si="108">AW105-AW106</f>
        <v>0</v>
      </c>
      <c r="AX107" s="344">
        <f t="shared" ref="AX107" si="109">AX105-AX106</f>
        <v>0</v>
      </c>
      <c r="AY107" s="344">
        <f t="shared" ref="AY107" si="110">AY105-AY106</f>
        <v>0</v>
      </c>
      <c r="AZ107" s="344">
        <f t="shared" ref="AZ107" si="111">AZ105-AZ106</f>
        <v>0</v>
      </c>
      <c r="BA107" s="344">
        <f t="shared" ref="BA107" si="112">BA105-BA106</f>
        <v>0</v>
      </c>
      <c r="BB107" s="344">
        <f t="shared" ref="BB107" si="113">BB105-BB106</f>
        <v>0</v>
      </c>
    </row>
    <row r="108" spans="2:54" s="21" customFormat="1" ht="15.6" hidden="1" outlineLevel="1">
      <c r="B108" s="349"/>
      <c r="C108" s="310"/>
      <c r="D108" s="310"/>
      <c r="E108" s="310"/>
      <c r="F108" s="310"/>
      <c r="G108" s="310"/>
      <c r="H108" s="310"/>
      <c r="I108" s="310"/>
      <c r="J108" s="310"/>
      <c r="K108" s="310"/>
      <c r="L108" s="310"/>
      <c r="M108" s="310"/>
      <c r="N108" s="310"/>
      <c r="O108" s="310"/>
      <c r="P108" s="310"/>
      <c r="Q108" s="310"/>
      <c r="R108" s="310"/>
      <c r="S108" s="310"/>
      <c r="T108" s="310"/>
      <c r="U108" s="310"/>
      <c r="V108" s="310"/>
      <c r="W108" s="310"/>
      <c r="X108" s="310"/>
      <c r="Y108" s="310"/>
      <c r="Z108" s="310"/>
      <c r="AA108" s="310"/>
      <c r="AB108" s="310"/>
      <c r="AC108" s="310"/>
      <c r="AD108" s="310"/>
      <c r="AE108" s="310"/>
      <c r="AF108" s="310"/>
      <c r="AG108" s="310"/>
      <c r="AH108" s="310"/>
      <c r="AI108" s="310"/>
      <c r="AJ108" s="310"/>
      <c r="AK108" s="310"/>
      <c r="AL108" s="310"/>
      <c r="AM108" s="310"/>
      <c r="AN108" s="310"/>
      <c r="AO108" s="310"/>
      <c r="AP108" s="310"/>
      <c r="AQ108" s="310"/>
      <c r="AR108" s="310"/>
      <c r="AS108" s="310"/>
      <c r="AT108" s="310"/>
      <c r="AU108" s="310"/>
      <c r="AV108" s="310"/>
      <c r="AW108" s="310"/>
      <c r="AX108" s="310"/>
      <c r="AY108" s="310"/>
      <c r="AZ108" s="310"/>
      <c r="BA108" s="310"/>
      <c r="BB108" s="310"/>
    </row>
    <row r="109" spans="2:54" ht="15.6" hidden="1" outlineLevel="1">
      <c r="B109" s="350" t="s">
        <v>315</v>
      </c>
      <c r="C109" s="335"/>
      <c r="D109" s="335"/>
      <c r="E109" s="335"/>
      <c r="F109" s="335"/>
      <c r="G109" s="335"/>
      <c r="H109" s="335"/>
      <c r="I109" s="335"/>
      <c r="J109" s="335"/>
      <c r="K109" s="335"/>
      <c r="L109" s="336"/>
      <c r="M109" s="336"/>
      <c r="N109" s="336"/>
      <c r="O109" s="336"/>
      <c r="P109" s="336"/>
      <c r="Q109" s="336"/>
      <c r="R109" s="336"/>
      <c r="S109" s="336"/>
      <c r="T109" s="336"/>
      <c r="U109" s="336"/>
      <c r="V109" s="336"/>
      <c r="W109" s="336"/>
      <c r="X109" s="336"/>
      <c r="Y109" s="336"/>
      <c r="Z109" s="336"/>
      <c r="AA109" s="336"/>
      <c r="AB109" s="336"/>
      <c r="AC109" s="336"/>
      <c r="AD109" s="336"/>
      <c r="AE109" s="336"/>
      <c r="AF109" s="336"/>
      <c r="AG109" s="336"/>
      <c r="AH109" s="336"/>
      <c r="AI109" s="336"/>
      <c r="AJ109" s="336"/>
      <c r="AK109" s="336"/>
      <c r="AL109" s="336"/>
      <c r="AM109" s="336"/>
      <c r="AN109" s="336"/>
      <c r="AO109" s="336"/>
      <c r="AP109" s="336"/>
      <c r="AQ109" s="336"/>
      <c r="AR109" s="336"/>
      <c r="AS109" s="336"/>
      <c r="AT109" s="336"/>
      <c r="AU109" s="336"/>
      <c r="AV109" s="336"/>
      <c r="AW109" s="336"/>
      <c r="AX109" s="336"/>
      <c r="AY109" s="336"/>
      <c r="AZ109" s="336"/>
      <c r="BA109" s="336"/>
      <c r="BB109" s="336"/>
    </row>
    <row r="110" spans="2:54" ht="9" hidden="1" customHeight="1" outlineLevel="1">
      <c r="B110" s="334"/>
      <c r="F110" s="5"/>
      <c r="G110" s="5"/>
      <c r="H110" s="5"/>
      <c r="I110" s="5"/>
      <c r="J110" s="5"/>
      <c r="K110" s="5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</row>
    <row r="111" spans="2:54" hidden="1" outlineLevel="1">
      <c r="B111" s="334" t="s">
        <v>374</v>
      </c>
      <c r="F111" s="5"/>
      <c r="G111" s="5"/>
      <c r="H111" s="342">
        <f>G114</f>
        <v>5565573</v>
      </c>
      <c r="I111" s="342">
        <f>H114</f>
        <v>10844261.524590164</v>
      </c>
      <c r="J111" s="342">
        <f t="shared" ref="J111:AT111" si="114">I114</f>
        <v>0</v>
      </c>
      <c r="K111" s="342">
        <f t="shared" si="114"/>
        <v>0</v>
      </c>
      <c r="L111" s="342">
        <f t="shared" si="114"/>
        <v>0</v>
      </c>
      <c r="M111" s="342">
        <f t="shared" si="114"/>
        <v>0</v>
      </c>
      <c r="N111" s="342">
        <f t="shared" si="114"/>
        <v>0</v>
      </c>
      <c r="O111" s="342">
        <f t="shared" si="114"/>
        <v>0</v>
      </c>
      <c r="P111" s="342">
        <f t="shared" si="114"/>
        <v>0</v>
      </c>
      <c r="Q111" s="342">
        <f t="shared" si="114"/>
        <v>0</v>
      </c>
      <c r="R111" s="342">
        <f t="shared" si="114"/>
        <v>0</v>
      </c>
      <c r="S111" s="342">
        <f t="shared" si="114"/>
        <v>0</v>
      </c>
      <c r="T111" s="342">
        <f t="shared" si="114"/>
        <v>0</v>
      </c>
      <c r="U111" s="342">
        <f t="shared" si="114"/>
        <v>0</v>
      </c>
      <c r="V111" s="342">
        <f t="shared" si="114"/>
        <v>0</v>
      </c>
      <c r="W111" s="342">
        <f t="shared" si="114"/>
        <v>0</v>
      </c>
      <c r="X111" s="342">
        <f t="shared" si="114"/>
        <v>0</v>
      </c>
      <c r="Y111" s="342">
        <f t="shared" si="114"/>
        <v>0</v>
      </c>
      <c r="Z111" s="342">
        <f t="shared" si="114"/>
        <v>0</v>
      </c>
      <c r="AA111" s="342">
        <f t="shared" si="114"/>
        <v>0</v>
      </c>
      <c r="AB111" s="342">
        <f t="shared" si="114"/>
        <v>0</v>
      </c>
      <c r="AC111" s="342">
        <f t="shared" si="114"/>
        <v>0</v>
      </c>
      <c r="AD111" s="342">
        <f t="shared" si="114"/>
        <v>0</v>
      </c>
      <c r="AE111" s="342">
        <f t="shared" si="114"/>
        <v>0</v>
      </c>
      <c r="AF111" s="342">
        <f t="shared" si="114"/>
        <v>0</v>
      </c>
      <c r="AG111" s="342">
        <f t="shared" si="114"/>
        <v>0</v>
      </c>
      <c r="AH111" s="342">
        <f t="shared" si="114"/>
        <v>0</v>
      </c>
      <c r="AI111" s="342">
        <f t="shared" si="114"/>
        <v>0</v>
      </c>
      <c r="AJ111" s="342">
        <f t="shared" si="114"/>
        <v>0</v>
      </c>
      <c r="AK111" s="342">
        <f t="shared" si="114"/>
        <v>0</v>
      </c>
      <c r="AL111" s="342">
        <f t="shared" si="114"/>
        <v>0</v>
      </c>
      <c r="AM111" s="342">
        <f t="shared" si="114"/>
        <v>0</v>
      </c>
      <c r="AN111" s="342">
        <f t="shared" si="114"/>
        <v>0</v>
      </c>
      <c r="AO111" s="342">
        <f t="shared" si="114"/>
        <v>0</v>
      </c>
      <c r="AP111" s="342">
        <f t="shared" si="114"/>
        <v>0</v>
      </c>
      <c r="AQ111" s="342">
        <f t="shared" si="114"/>
        <v>0</v>
      </c>
      <c r="AR111" s="342">
        <f t="shared" si="114"/>
        <v>0</v>
      </c>
      <c r="AS111" s="342">
        <f t="shared" si="114"/>
        <v>0</v>
      </c>
      <c r="AT111" s="342">
        <f t="shared" si="114"/>
        <v>0</v>
      </c>
      <c r="AU111" s="342">
        <f t="shared" ref="AU111:BB111" si="115">AT114</f>
        <v>0</v>
      </c>
      <c r="AV111" s="342">
        <f t="shared" si="115"/>
        <v>0</v>
      </c>
      <c r="AW111" s="342">
        <f t="shared" si="115"/>
        <v>0</v>
      </c>
      <c r="AX111" s="342">
        <f t="shared" si="115"/>
        <v>0</v>
      </c>
      <c r="AY111" s="342">
        <f t="shared" si="115"/>
        <v>0</v>
      </c>
      <c r="AZ111" s="342">
        <f t="shared" si="115"/>
        <v>0</v>
      </c>
      <c r="BA111" s="342">
        <f t="shared" si="115"/>
        <v>0</v>
      </c>
      <c r="BB111" s="342">
        <f t="shared" si="115"/>
        <v>0</v>
      </c>
    </row>
    <row r="112" spans="2:54" ht="15.6" hidden="1" outlineLevel="1">
      <c r="B112" s="347" t="s">
        <v>317</v>
      </c>
      <c r="F112" s="5"/>
      <c r="G112" s="5"/>
      <c r="H112" s="342">
        <f>$F$63/366 * _xlfn.DAYS(H$97,G$97) * H101</f>
        <v>5278688.5245901644</v>
      </c>
      <c r="I112" s="343">
        <v>0</v>
      </c>
      <c r="J112" s="343">
        <v>0</v>
      </c>
      <c r="K112" s="343">
        <v>0</v>
      </c>
      <c r="L112" s="343">
        <v>0</v>
      </c>
      <c r="M112" s="343">
        <v>0</v>
      </c>
      <c r="N112" s="343">
        <v>0</v>
      </c>
      <c r="O112" s="343">
        <v>0</v>
      </c>
      <c r="P112" s="343">
        <v>0</v>
      </c>
      <c r="Q112" s="343">
        <v>0</v>
      </c>
      <c r="R112" s="343">
        <v>0</v>
      </c>
      <c r="S112" s="343">
        <v>0</v>
      </c>
      <c r="T112" s="343">
        <v>0</v>
      </c>
      <c r="U112" s="343">
        <v>0</v>
      </c>
      <c r="V112" s="343">
        <v>0</v>
      </c>
      <c r="W112" s="343">
        <v>0</v>
      </c>
      <c r="X112" s="343">
        <v>0</v>
      </c>
      <c r="Y112" s="343">
        <v>0</v>
      </c>
      <c r="Z112" s="343">
        <v>0</v>
      </c>
      <c r="AA112" s="343">
        <v>0</v>
      </c>
      <c r="AB112" s="343">
        <v>0</v>
      </c>
      <c r="AC112" s="343">
        <v>0</v>
      </c>
      <c r="AD112" s="343">
        <v>0</v>
      </c>
      <c r="AE112" s="343">
        <v>0</v>
      </c>
      <c r="AF112" s="343">
        <v>0</v>
      </c>
      <c r="AG112" s="343">
        <v>0</v>
      </c>
      <c r="AH112" s="343">
        <v>0</v>
      </c>
      <c r="AI112" s="343">
        <v>0</v>
      </c>
      <c r="AJ112" s="343">
        <v>0</v>
      </c>
      <c r="AK112" s="343">
        <v>0</v>
      </c>
      <c r="AL112" s="343">
        <v>0</v>
      </c>
      <c r="AM112" s="343">
        <v>0</v>
      </c>
      <c r="AN112" s="343">
        <v>0</v>
      </c>
      <c r="AO112" s="343">
        <v>0</v>
      </c>
      <c r="AP112" s="343">
        <v>0</v>
      </c>
      <c r="AQ112" s="343">
        <v>0</v>
      </c>
      <c r="AR112" s="343">
        <v>0</v>
      </c>
      <c r="AS112" s="343">
        <v>0</v>
      </c>
      <c r="AT112" s="343">
        <v>0</v>
      </c>
      <c r="AU112" s="343">
        <v>0</v>
      </c>
      <c r="AV112" s="343">
        <v>0</v>
      </c>
      <c r="AW112" s="343">
        <v>0</v>
      </c>
      <c r="AX112" s="343">
        <v>0</v>
      </c>
      <c r="AY112" s="343">
        <v>0</v>
      </c>
      <c r="AZ112" s="343">
        <v>0</v>
      </c>
      <c r="BA112" s="343">
        <v>0</v>
      </c>
      <c r="BB112" s="343">
        <v>0</v>
      </c>
    </row>
    <row r="113" spans="1:70" ht="15.6" hidden="1" outlineLevel="1">
      <c r="B113" s="347" t="s">
        <v>316</v>
      </c>
      <c r="F113" s="5"/>
      <c r="G113" s="5"/>
      <c r="H113" s="343">
        <v>0</v>
      </c>
      <c r="I113" s="343">
        <f>I111</f>
        <v>10844261.524590164</v>
      </c>
      <c r="J113" s="343">
        <v>0</v>
      </c>
      <c r="K113" s="343">
        <v>0</v>
      </c>
      <c r="L113" s="343">
        <v>0</v>
      </c>
      <c r="M113" s="343">
        <v>0</v>
      </c>
      <c r="N113" s="343">
        <v>0</v>
      </c>
      <c r="O113" s="343">
        <v>0</v>
      </c>
      <c r="P113" s="343">
        <v>0</v>
      </c>
      <c r="Q113" s="343">
        <v>0</v>
      </c>
      <c r="R113" s="343">
        <v>0</v>
      </c>
      <c r="S113" s="343">
        <v>0</v>
      </c>
      <c r="T113" s="343">
        <v>0</v>
      </c>
      <c r="U113" s="343">
        <v>0</v>
      </c>
      <c r="V113" s="343">
        <v>0</v>
      </c>
      <c r="W113" s="343">
        <v>0</v>
      </c>
      <c r="X113" s="343">
        <v>0</v>
      </c>
      <c r="Y113" s="343">
        <v>0</v>
      </c>
      <c r="Z113" s="343">
        <v>0</v>
      </c>
      <c r="AA113" s="343">
        <v>0</v>
      </c>
      <c r="AB113" s="343">
        <v>0</v>
      </c>
      <c r="AC113" s="343">
        <v>0</v>
      </c>
      <c r="AD113" s="343">
        <v>0</v>
      </c>
      <c r="AE113" s="343">
        <v>0</v>
      </c>
      <c r="AF113" s="343">
        <v>0</v>
      </c>
      <c r="AG113" s="343">
        <v>0</v>
      </c>
      <c r="AH113" s="343">
        <v>0</v>
      </c>
      <c r="AI113" s="343">
        <v>0</v>
      </c>
      <c r="AJ113" s="343">
        <v>0</v>
      </c>
      <c r="AK113" s="343">
        <v>0</v>
      </c>
      <c r="AL113" s="343">
        <v>0</v>
      </c>
      <c r="AM113" s="343">
        <v>0</v>
      </c>
      <c r="AN113" s="343">
        <v>0</v>
      </c>
      <c r="AO113" s="343">
        <v>0</v>
      </c>
      <c r="AP113" s="343">
        <v>0</v>
      </c>
      <c r="AQ113" s="343">
        <v>0</v>
      </c>
      <c r="AR113" s="343">
        <v>0</v>
      </c>
      <c r="AS113" s="343">
        <v>0</v>
      </c>
      <c r="AT113" s="343">
        <v>0</v>
      </c>
      <c r="AU113" s="343">
        <v>0</v>
      </c>
      <c r="AV113" s="343">
        <v>0</v>
      </c>
      <c r="AW113" s="343">
        <v>0</v>
      </c>
      <c r="AX113" s="343">
        <v>0</v>
      </c>
      <c r="AY113" s="343">
        <v>0</v>
      </c>
      <c r="AZ113" s="343">
        <v>0</v>
      </c>
      <c r="BA113" s="343">
        <v>0</v>
      </c>
      <c r="BB113" s="343">
        <v>0</v>
      </c>
    </row>
    <row r="114" spans="1:70" s="53" customFormat="1" ht="15.6" hidden="1" outlineLevel="1">
      <c r="B114" s="348" t="s">
        <v>375</v>
      </c>
      <c r="G114" s="341">
        <f>H63</f>
        <v>5565573</v>
      </c>
      <c r="H114" s="344">
        <f>H111+H112-H113</f>
        <v>10844261.524590164</v>
      </c>
      <c r="I114" s="344">
        <f>I111+I112-I113</f>
        <v>0</v>
      </c>
      <c r="J114" s="344">
        <f t="shared" ref="J114:AU114" si="116">J111+J112-J113</f>
        <v>0</v>
      </c>
      <c r="K114" s="344">
        <f t="shared" si="116"/>
        <v>0</v>
      </c>
      <c r="L114" s="344">
        <f t="shared" si="116"/>
        <v>0</v>
      </c>
      <c r="M114" s="344">
        <f t="shared" si="116"/>
        <v>0</v>
      </c>
      <c r="N114" s="344">
        <f t="shared" si="116"/>
        <v>0</v>
      </c>
      <c r="O114" s="344">
        <f t="shared" si="116"/>
        <v>0</v>
      </c>
      <c r="P114" s="344">
        <f t="shared" si="116"/>
        <v>0</v>
      </c>
      <c r="Q114" s="344">
        <f t="shared" si="116"/>
        <v>0</v>
      </c>
      <c r="R114" s="344">
        <f t="shared" si="116"/>
        <v>0</v>
      </c>
      <c r="S114" s="344">
        <f t="shared" si="116"/>
        <v>0</v>
      </c>
      <c r="T114" s="344">
        <f t="shared" si="116"/>
        <v>0</v>
      </c>
      <c r="U114" s="344">
        <f t="shared" si="116"/>
        <v>0</v>
      </c>
      <c r="V114" s="344">
        <f t="shared" si="116"/>
        <v>0</v>
      </c>
      <c r="W114" s="344">
        <f t="shared" si="116"/>
        <v>0</v>
      </c>
      <c r="X114" s="344">
        <f t="shared" si="116"/>
        <v>0</v>
      </c>
      <c r="Y114" s="344">
        <f t="shared" si="116"/>
        <v>0</v>
      </c>
      <c r="Z114" s="344">
        <f t="shared" si="116"/>
        <v>0</v>
      </c>
      <c r="AA114" s="344">
        <f t="shared" si="116"/>
        <v>0</v>
      </c>
      <c r="AB114" s="344">
        <f t="shared" si="116"/>
        <v>0</v>
      </c>
      <c r="AC114" s="344">
        <f t="shared" si="116"/>
        <v>0</v>
      </c>
      <c r="AD114" s="344">
        <f t="shared" si="116"/>
        <v>0</v>
      </c>
      <c r="AE114" s="344">
        <f t="shared" si="116"/>
        <v>0</v>
      </c>
      <c r="AF114" s="344">
        <f t="shared" si="116"/>
        <v>0</v>
      </c>
      <c r="AG114" s="344">
        <f t="shared" si="116"/>
        <v>0</v>
      </c>
      <c r="AH114" s="344">
        <f t="shared" si="116"/>
        <v>0</v>
      </c>
      <c r="AI114" s="344">
        <f t="shared" si="116"/>
        <v>0</v>
      </c>
      <c r="AJ114" s="344">
        <f t="shared" si="116"/>
        <v>0</v>
      </c>
      <c r="AK114" s="344">
        <f t="shared" si="116"/>
        <v>0</v>
      </c>
      <c r="AL114" s="344">
        <f t="shared" si="116"/>
        <v>0</v>
      </c>
      <c r="AM114" s="344">
        <f t="shared" si="116"/>
        <v>0</v>
      </c>
      <c r="AN114" s="344">
        <f t="shared" si="116"/>
        <v>0</v>
      </c>
      <c r="AO114" s="344">
        <f t="shared" si="116"/>
        <v>0</v>
      </c>
      <c r="AP114" s="344">
        <f t="shared" si="116"/>
        <v>0</v>
      </c>
      <c r="AQ114" s="344">
        <f t="shared" si="116"/>
        <v>0</v>
      </c>
      <c r="AR114" s="344">
        <f t="shared" si="116"/>
        <v>0</v>
      </c>
      <c r="AS114" s="344">
        <f t="shared" si="116"/>
        <v>0</v>
      </c>
      <c r="AT114" s="344">
        <f t="shared" si="116"/>
        <v>0</v>
      </c>
      <c r="AU114" s="344">
        <f t="shared" si="116"/>
        <v>0</v>
      </c>
      <c r="AV114" s="344">
        <f t="shared" ref="AV114" si="117">AV111+AV112-AV113</f>
        <v>0</v>
      </c>
      <c r="AW114" s="344">
        <f t="shared" ref="AW114" si="118">AW111+AW112-AW113</f>
        <v>0</v>
      </c>
      <c r="AX114" s="344">
        <f t="shared" ref="AX114" si="119">AX111+AX112-AX113</f>
        <v>0</v>
      </c>
      <c r="AY114" s="344">
        <f t="shared" ref="AY114" si="120">AY111+AY112-AY113</f>
        <v>0</v>
      </c>
      <c r="AZ114" s="344">
        <f t="shared" ref="AZ114" si="121">AZ111+AZ112-AZ113</f>
        <v>0</v>
      </c>
      <c r="BA114" s="344">
        <f t="shared" ref="BA114" si="122">BA111+BA112-BA113</f>
        <v>0</v>
      </c>
      <c r="BB114" s="344">
        <f t="shared" ref="BB114" si="123">BB111+BB112-BB113</f>
        <v>0</v>
      </c>
    </row>
    <row r="115" spans="1:70" hidden="1" outlineLevel="1">
      <c r="B115" s="334"/>
      <c r="F115" s="5"/>
      <c r="G115" s="5"/>
      <c r="H115" s="5"/>
      <c r="I115" s="5"/>
      <c r="J115" s="5"/>
      <c r="K115" s="5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</row>
    <row r="116" spans="1:70" hidden="1" outlineLevel="1">
      <c r="B116" s="334" t="s">
        <v>370</v>
      </c>
      <c r="F116" s="5"/>
      <c r="G116" s="5"/>
      <c r="H116" s="342">
        <f>G119</f>
        <v>1967213</v>
      </c>
      <c r="I116" s="342">
        <f>H119</f>
        <v>0</v>
      </c>
      <c r="J116" s="342">
        <f>I119</f>
        <v>0</v>
      </c>
      <c r="K116" s="342">
        <f t="shared" ref="K116:AT116" si="124">J119</f>
        <v>0</v>
      </c>
      <c r="L116" s="342">
        <f t="shared" si="124"/>
        <v>0</v>
      </c>
      <c r="M116" s="342">
        <f t="shared" si="124"/>
        <v>0</v>
      </c>
      <c r="N116" s="342">
        <f t="shared" si="124"/>
        <v>0</v>
      </c>
      <c r="O116" s="342">
        <f t="shared" si="124"/>
        <v>0</v>
      </c>
      <c r="P116" s="342">
        <f t="shared" si="124"/>
        <v>0</v>
      </c>
      <c r="Q116" s="342">
        <f t="shared" si="124"/>
        <v>0</v>
      </c>
      <c r="R116" s="342">
        <f t="shared" si="124"/>
        <v>0</v>
      </c>
      <c r="S116" s="342">
        <f t="shared" si="124"/>
        <v>0</v>
      </c>
      <c r="T116" s="342">
        <f t="shared" si="124"/>
        <v>0</v>
      </c>
      <c r="U116" s="342">
        <f t="shared" si="124"/>
        <v>0</v>
      </c>
      <c r="V116" s="342">
        <f t="shared" si="124"/>
        <v>0</v>
      </c>
      <c r="W116" s="342">
        <f t="shared" si="124"/>
        <v>0</v>
      </c>
      <c r="X116" s="342">
        <f t="shared" si="124"/>
        <v>0</v>
      </c>
      <c r="Y116" s="342">
        <f t="shared" si="124"/>
        <v>0</v>
      </c>
      <c r="Z116" s="342">
        <f t="shared" si="124"/>
        <v>0</v>
      </c>
      <c r="AA116" s="342">
        <f t="shared" si="124"/>
        <v>0</v>
      </c>
      <c r="AB116" s="342">
        <f t="shared" si="124"/>
        <v>0</v>
      </c>
      <c r="AC116" s="342">
        <f t="shared" si="124"/>
        <v>0</v>
      </c>
      <c r="AD116" s="342">
        <f t="shared" si="124"/>
        <v>0</v>
      </c>
      <c r="AE116" s="342">
        <f t="shared" si="124"/>
        <v>0</v>
      </c>
      <c r="AF116" s="342">
        <f t="shared" si="124"/>
        <v>0</v>
      </c>
      <c r="AG116" s="342">
        <f t="shared" si="124"/>
        <v>0</v>
      </c>
      <c r="AH116" s="342">
        <f t="shared" si="124"/>
        <v>0</v>
      </c>
      <c r="AI116" s="342">
        <f t="shared" si="124"/>
        <v>0</v>
      </c>
      <c r="AJ116" s="342">
        <f t="shared" si="124"/>
        <v>0</v>
      </c>
      <c r="AK116" s="342">
        <f t="shared" si="124"/>
        <v>0</v>
      </c>
      <c r="AL116" s="342">
        <f t="shared" si="124"/>
        <v>0</v>
      </c>
      <c r="AM116" s="342">
        <f t="shared" si="124"/>
        <v>0</v>
      </c>
      <c r="AN116" s="342">
        <f t="shared" si="124"/>
        <v>0</v>
      </c>
      <c r="AO116" s="342">
        <f t="shared" si="124"/>
        <v>0</v>
      </c>
      <c r="AP116" s="342">
        <f t="shared" si="124"/>
        <v>0</v>
      </c>
      <c r="AQ116" s="342">
        <f t="shared" si="124"/>
        <v>0</v>
      </c>
      <c r="AR116" s="342">
        <f t="shared" si="124"/>
        <v>0</v>
      </c>
      <c r="AS116" s="342">
        <f t="shared" si="124"/>
        <v>0</v>
      </c>
      <c r="AT116" s="342">
        <f t="shared" si="124"/>
        <v>0</v>
      </c>
      <c r="AU116" s="342">
        <f t="shared" ref="AU116:BB116" si="125">AT119</f>
        <v>0</v>
      </c>
      <c r="AV116" s="342">
        <f t="shared" si="125"/>
        <v>0</v>
      </c>
      <c r="AW116" s="342">
        <f t="shared" si="125"/>
        <v>0</v>
      </c>
      <c r="AX116" s="342">
        <f t="shared" si="125"/>
        <v>0</v>
      </c>
      <c r="AY116" s="342">
        <f t="shared" si="125"/>
        <v>0</v>
      </c>
      <c r="AZ116" s="342">
        <f t="shared" si="125"/>
        <v>0</v>
      </c>
      <c r="BA116" s="342">
        <f t="shared" si="125"/>
        <v>0</v>
      </c>
      <c r="BB116" s="342">
        <f t="shared" si="125"/>
        <v>0</v>
      </c>
    </row>
    <row r="117" spans="1:70" ht="15.6" hidden="1" outlineLevel="1">
      <c r="B117" s="347" t="s">
        <v>317</v>
      </c>
      <c r="E117" s="214"/>
      <c r="F117" s="5"/>
      <c r="G117" s="5"/>
      <c r="H117" s="343">
        <v>1628415.3</v>
      </c>
      <c r="I117" s="343">
        <v>0</v>
      </c>
      <c r="J117" s="343">
        <v>0</v>
      </c>
      <c r="K117" s="343">
        <v>0</v>
      </c>
      <c r="L117" s="343">
        <v>0</v>
      </c>
      <c r="M117" s="343">
        <v>0</v>
      </c>
      <c r="N117" s="343">
        <v>0</v>
      </c>
      <c r="O117" s="343">
        <v>0</v>
      </c>
      <c r="P117" s="343">
        <v>0</v>
      </c>
      <c r="Q117" s="343">
        <v>0</v>
      </c>
      <c r="R117" s="343">
        <v>0</v>
      </c>
      <c r="S117" s="343">
        <v>0</v>
      </c>
      <c r="T117" s="343">
        <v>0</v>
      </c>
      <c r="U117" s="343">
        <v>0</v>
      </c>
      <c r="V117" s="343">
        <v>0</v>
      </c>
      <c r="W117" s="343">
        <v>0</v>
      </c>
      <c r="X117" s="343">
        <v>0</v>
      </c>
      <c r="Y117" s="343">
        <v>0</v>
      </c>
      <c r="Z117" s="343">
        <v>0</v>
      </c>
      <c r="AA117" s="343">
        <v>0</v>
      </c>
      <c r="AB117" s="343">
        <v>0</v>
      </c>
      <c r="AC117" s="343">
        <v>0</v>
      </c>
      <c r="AD117" s="343">
        <v>0</v>
      </c>
      <c r="AE117" s="343">
        <v>0</v>
      </c>
      <c r="AF117" s="343">
        <v>0</v>
      </c>
      <c r="AG117" s="343">
        <v>0</v>
      </c>
      <c r="AH117" s="343">
        <v>0</v>
      </c>
      <c r="AI117" s="343">
        <v>0</v>
      </c>
      <c r="AJ117" s="343">
        <v>0</v>
      </c>
      <c r="AK117" s="343">
        <v>0</v>
      </c>
      <c r="AL117" s="343">
        <v>0</v>
      </c>
      <c r="AM117" s="343">
        <v>0</v>
      </c>
      <c r="AN117" s="343">
        <v>0</v>
      </c>
      <c r="AO117" s="343">
        <v>0</v>
      </c>
      <c r="AP117" s="343">
        <v>0</v>
      </c>
      <c r="AQ117" s="343">
        <v>0</v>
      </c>
      <c r="AR117" s="343">
        <v>0</v>
      </c>
      <c r="AS117" s="343">
        <v>0</v>
      </c>
      <c r="AT117" s="343">
        <v>0</v>
      </c>
      <c r="AU117" s="343">
        <v>0</v>
      </c>
      <c r="AV117" s="343">
        <v>0</v>
      </c>
      <c r="AW117" s="343">
        <v>0</v>
      </c>
      <c r="AX117" s="343">
        <v>0</v>
      </c>
      <c r="AY117" s="343">
        <v>0</v>
      </c>
      <c r="AZ117" s="343">
        <v>0</v>
      </c>
      <c r="BA117" s="343">
        <v>0</v>
      </c>
      <c r="BB117" s="343">
        <v>0</v>
      </c>
    </row>
    <row r="118" spans="1:70" ht="15.6" hidden="1" outlineLevel="1">
      <c r="B118" s="347" t="s">
        <v>316</v>
      </c>
      <c r="F118" s="5"/>
      <c r="G118" s="5"/>
      <c r="H118" s="466">
        <f>SUM(H116:H117)</f>
        <v>3595628.3</v>
      </c>
      <c r="I118" s="343">
        <v>0</v>
      </c>
      <c r="J118" s="343">
        <v>0</v>
      </c>
      <c r="K118" s="343">
        <v>0</v>
      </c>
      <c r="L118" s="343">
        <v>0</v>
      </c>
      <c r="M118" s="343">
        <v>0</v>
      </c>
      <c r="N118" s="343">
        <v>0</v>
      </c>
      <c r="O118" s="343">
        <v>0</v>
      </c>
      <c r="P118" s="343">
        <v>0</v>
      </c>
      <c r="Q118" s="343">
        <v>0</v>
      </c>
      <c r="R118" s="343">
        <v>0</v>
      </c>
      <c r="S118" s="343">
        <v>0</v>
      </c>
      <c r="T118" s="343">
        <v>0</v>
      </c>
      <c r="U118" s="343">
        <v>0</v>
      </c>
      <c r="V118" s="343">
        <v>0</v>
      </c>
      <c r="W118" s="343">
        <v>0</v>
      </c>
      <c r="X118" s="343">
        <v>0</v>
      </c>
      <c r="Y118" s="343">
        <v>0</v>
      </c>
      <c r="Z118" s="343">
        <v>0</v>
      </c>
      <c r="AA118" s="343">
        <v>0</v>
      </c>
      <c r="AB118" s="343">
        <v>0</v>
      </c>
      <c r="AC118" s="343">
        <v>0</v>
      </c>
      <c r="AD118" s="343">
        <v>0</v>
      </c>
      <c r="AE118" s="343">
        <v>0</v>
      </c>
      <c r="AF118" s="343">
        <v>0</v>
      </c>
      <c r="AG118" s="343">
        <v>0</v>
      </c>
      <c r="AH118" s="343">
        <v>0</v>
      </c>
      <c r="AI118" s="343">
        <v>0</v>
      </c>
      <c r="AJ118" s="343">
        <v>0</v>
      </c>
      <c r="AK118" s="343">
        <v>0</v>
      </c>
      <c r="AL118" s="343">
        <v>0</v>
      </c>
      <c r="AM118" s="343">
        <v>0</v>
      </c>
      <c r="AN118" s="343">
        <v>0</v>
      </c>
      <c r="AO118" s="343">
        <v>0</v>
      </c>
      <c r="AP118" s="343">
        <v>0</v>
      </c>
      <c r="AQ118" s="343">
        <v>0</v>
      </c>
      <c r="AR118" s="343">
        <v>0</v>
      </c>
      <c r="AS118" s="343">
        <v>0</v>
      </c>
      <c r="AT118" s="343">
        <v>0</v>
      </c>
      <c r="AU118" s="343">
        <v>0</v>
      </c>
      <c r="AV118" s="343">
        <v>0</v>
      </c>
      <c r="AW118" s="343">
        <v>0</v>
      </c>
      <c r="AX118" s="343">
        <v>0</v>
      </c>
      <c r="AY118" s="343">
        <v>0</v>
      </c>
      <c r="AZ118" s="343">
        <v>0</v>
      </c>
      <c r="BA118" s="343">
        <v>0</v>
      </c>
      <c r="BB118" s="343">
        <v>0</v>
      </c>
    </row>
    <row r="119" spans="1:70" s="53" customFormat="1" ht="15.6" hidden="1" outlineLevel="1">
      <c r="B119" s="351" t="s">
        <v>371</v>
      </c>
      <c r="G119" s="341">
        <f>H65</f>
        <v>1967213</v>
      </c>
      <c r="H119" s="344">
        <f>H116+H117-H118</f>
        <v>0</v>
      </c>
      <c r="I119" s="344">
        <f>I116+I117-I118</f>
        <v>0</v>
      </c>
      <c r="J119" s="344">
        <f>J116+J117-J118</f>
        <v>0</v>
      </c>
      <c r="K119" s="344">
        <f t="shared" ref="K119" si="126">K116+K117-K118</f>
        <v>0</v>
      </c>
      <c r="L119" s="344">
        <f t="shared" ref="L119" si="127">L116+L117-L118</f>
        <v>0</v>
      </c>
      <c r="M119" s="344">
        <f t="shared" ref="M119" si="128">M116+M117-M118</f>
        <v>0</v>
      </c>
      <c r="N119" s="344">
        <f t="shared" ref="N119" si="129">N116+N117-N118</f>
        <v>0</v>
      </c>
      <c r="O119" s="344">
        <f t="shared" ref="O119" si="130">O116+O117-O118</f>
        <v>0</v>
      </c>
      <c r="P119" s="344">
        <f t="shared" ref="P119" si="131">P116+P117-P118</f>
        <v>0</v>
      </c>
      <c r="Q119" s="344">
        <f t="shared" ref="Q119" si="132">Q116+Q117-Q118</f>
        <v>0</v>
      </c>
      <c r="R119" s="344">
        <f t="shared" ref="R119" si="133">R116+R117-R118</f>
        <v>0</v>
      </c>
      <c r="S119" s="344">
        <f t="shared" ref="S119" si="134">S116+S117-S118</f>
        <v>0</v>
      </c>
      <c r="T119" s="344">
        <f t="shared" ref="T119" si="135">T116+T117-T118</f>
        <v>0</v>
      </c>
      <c r="U119" s="344">
        <f t="shared" ref="U119" si="136">U116+U117-U118</f>
        <v>0</v>
      </c>
      <c r="V119" s="344">
        <f t="shared" ref="V119" si="137">V116+V117-V118</f>
        <v>0</v>
      </c>
      <c r="W119" s="344">
        <f t="shared" ref="W119" si="138">W116+W117-W118</f>
        <v>0</v>
      </c>
      <c r="X119" s="344">
        <f t="shared" ref="X119" si="139">X116+X117-X118</f>
        <v>0</v>
      </c>
      <c r="Y119" s="344">
        <f t="shared" ref="Y119" si="140">Y116+Y117-Y118</f>
        <v>0</v>
      </c>
      <c r="Z119" s="344">
        <f t="shared" ref="Z119" si="141">Z116+Z117-Z118</f>
        <v>0</v>
      </c>
      <c r="AA119" s="344">
        <f t="shared" ref="AA119" si="142">AA116+AA117-AA118</f>
        <v>0</v>
      </c>
      <c r="AB119" s="344">
        <f t="shared" ref="AB119" si="143">AB116+AB117-AB118</f>
        <v>0</v>
      </c>
      <c r="AC119" s="344">
        <f t="shared" ref="AC119" si="144">AC116+AC117-AC118</f>
        <v>0</v>
      </c>
      <c r="AD119" s="344">
        <f t="shared" ref="AD119" si="145">AD116+AD117-AD118</f>
        <v>0</v>
      </c>
      <c r="AE119" s="344">
        <f t="shared" ref="AE119" si="146">AE116+AE117-AE118</f>
        <v>0</v>
      </c>
      <c r="AF119" s="344">
        <f t="shared" ref="AF119" si="147">AF116+AF117-AF118</f>
        <v>0</v>
      </c>
      <c r="AG119" s="344">
        <f t="shared" ref="AG119" si="148">AG116+AG117-AG118</f>
        <v>0</v>
      </c>
      <c r="AH119" s="344">
        <f t="shared" ref="AH119" si="149">AH116+AH117-AH118</f>
        <v>0</v>
      </c>
      <c r="AI119" s="344">
        <f t="shared" ref="AI119" si="150">AI116+AI117-AI118</f>
        <v>0</v>
      </c>
      <c r="AJ119" s="344">
        <f t="shared" ref="AJ119" si="151">AJ116+AJ117-AJ118</f>
        <v>0</v>
      </c>
      <c r="AK119" s="344">
        <f t="shared" ref="AK119" si="152">AK116+AK117-AK118</f>
        <v>0</v>
      </c>
      <c r="AL119" s="344">
        <f t="shared" ref="AL119" si="153">AL116+AL117-AL118</f>
        <v>0</v>
      </c>
      <c r="AM119" s="344">
        <f t="shared" ref="AM119" si="154">AM116+AM117-AM118</f>
        <v>0</v>
      </c>
      <c r="AN119" s="344">
        <f t="shared" ref="AN119" si="155">AN116+AN117-AN118</f>
        <v>0</v>
      </c>
      <c r="AO119" s="344">
        <f t="shared" ref="AO119" si="156">AO116+AO117-AO118</f>
        <v>0</v>
      </c>
      <c r="AP119" s="344">
        <f t="shared" ref="AP119" si="157">AP116+AP117-AP118</f>
        <v>0</v>
      </c>
      <c r="AQ119" s="344">
        <f t="shared" ref="AQ119" si="158">AQ116+AQ117-AQ118</f>
        <v>0</v>
      </c>
      <c r="AR119" s="344">
        <f t="shared" ref="AR119" si="159">AR116+AR117-AR118</f>
        <v>0</v>
      </c>
      <c r="AS119" s="344">
        <f t="shared" ref="AS119" si="160">AS116+AS117-AS118</f>
        <v>0</v>
      </c>
      <c r="AT119" s="344">
        <f t="shared" ref="AT119:AU119" si="161">AT116+AT117-AT118</f>
        <v>0</v>
      </c>
      <c r="AU119" s="344">
        <f t="shared" si="161"/>
        <v>0</v>
      </c>
      <c r="AV119" s="344">
        <f t="shared" ref="AV119" si="162">AV116+AV117-AV118</f>
        <v>0</v>
      </c>
      <c r="AW119" s="344">
        <f t="shared" ref="AW119" si="163">AW116+AW117-AW118</f>
        <v>0</v>
      </c>
      <c r="AX119" s="344">
        <f t="shared" ref="AX119" si="164">AX116+AX117-AX118</f>
        <v>0</v>
      </c>
      <c r="AY119" s="344">
        <f t="shared" ref="AY119" si="165">AY116+AY117-AY118</f>
        <v>0</v>
      </c>
      <c r="AZ119" s="344">
        <f t="shared" ref="AZ119" si="166">AZ116+AZ117-AZ118</f>
        <v>0</v>
      </c>
      <c r="BA119" s="344">
        <f t="shared" ref="BA119" si="167">BA116+BA117-BA118</f>
        <v>0</v>
      </c>
      <c r="BB119" s="344">
        <f t="shared" ref="BB119" si="168">BB116+BB117-BB118</f>
        <v>0</v>
      </c>
    </row>
    <row r="120" spans="1:70" hidden="1" outlineLevel="1">
      <c r="B120" s="345"/>
      <c r="C120" s="11"/>
      <c r="E120" s="11"/>
      <c r="F120" s="43"/>
      <c r="G120" s="209"/>
      <c r="H120" s="209"/>
      <c r="I120" s="209"/>
      <c r="J120" s="209"/>
      <c r="K120" s="209"/>
      <c r="L120" s="209"/>
      <c r="M120" s="209"/>
      <c r="N120" s="209"/>
      <c r="O120" s="209"/>
      <c r="P120" s="209"/>
      <c r="Q120" s="209"/>
      <c r="R120" s="209"/>
      <c r="S120" s="209"/>
      <c r="T120" s="209"/>
      <c r="U120" s="209"/>
      <c r="V120" s="209"/>
      <c r="W120" s="209"/>
      <c r="X120" s="209"/>
      <c r="Y120" s="209"/>
      <c r="Z120" s="209"/>
      <c r="AA120" s="209"/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09"/>
      <c r="AL120" s="209"/>
      <c r="AM120" s="209"/>
      <c r="AN120" s="209"/>
      <c r="AO120" s="209"/>
      <c r="AP120" s="209"/>
      <c r="AQ120" s="209"/>
      <c r="AR120" s="209"/>
      <c r="AS120" s="209"/>
      <c r="AT120" s="209"/>
      <c r="AU120" s="209"/>
      <c r="AV120" s="209"/>
      <c r="AW120" s="43"/>
      <c r="AX120" s="43"/>
      <c r="AY120" s="43"/>
      <c r="AZ120" s="43"/>
      <c r="BA120" s="43"/>
      <c r="BB120" s="43"/>
    </row>
    <row r="121" spans="1:70" s="53" customFormat="1" ht="15.6" collapsed="1">
      <c r="A121" s="5"/>
      <c r="B121" s="56" t="s">
        <v>119</v>
      </c>
      <c r="C121" s="57"/>
      <c r="D121" s="63"/>
      <c r="E121" s="64" t="s">
        <v>2</v>
      </c>
      <c r="F121" s="165" t="str">
        <f>F89&amp;F88</f>
        <v>2 кв.2024</v>
      </c>
      <c r="G121" s="165" t="str">
        <f>G89&amp;G88</f>
        <v>3 кв.2024</v>
      </c>
      <c r="H121" s="57" t="str">
        <f>H89&amp;H88</f>
        <v>4 кв.2024</v>
      </c>
      <c r="I121" s="57" t="str">
        <f>I89&amp;I88</f>
        <v>1 кв.2025</v>
      </c>
      <c r="J121" s="57" t="str">
        <f t="shared" ref="J121:AU121" si="169">J89&amp;J88</f>
        <v>2 кв.2025</v>
      </c>
      <c r="K121" s="57" t="str">
        <f t="shared" si="169"/>
        <v>3 кв.2025</v>
      </c>
      <c r="L121" s="57" t="str">
        <f t="shared" si="169"/>
        <v>4 кв.2025</v>
      </c>
      <c r="M121" s="57" t="str">
        <f>M89&amp;M88</f>
        <v>1 кв.2026</v>
      </c>
      <c r="N121" s="57" t="str">
        <f t="shared" si="169"/>
        <v>2 кв.2026</v>
      </c>
      <c r="O121" s="57" t="str">
        <f>O89&amp;O88</f>
        <v>3 кв.2026</v>
      </c>
      <c r="P121" s="57" t="str">
        <f t="shared" si="169"/>
        <v>4 кв.2026</v>
      </c>
      <c r="Q121" s="57" t="str">
        <f t="shared" si="169"/>
        <v>1 кв.2027</v>
      </c>
      <c r="R121" s="57" t="str">
        <f t="shared" si="169"/>
        <v>2 кв.2027</v>
      </c>
      <c r="S121" s="57" t="str">
        <f t="shared" si="169"/>
        <v>3 кв.2027</v>
      </c>
      <c r="T121" s="57" t="str">
        <f t="shared" si="169"/>
        <v>4 кв.2027</v>
      </c>
      <c r="U121" s="57" t="str">
        <f t="shared" si="169"/>
        <v>1 кв.2028</v>
      </c>
      <c r="V121" s="57" t="str">
        <f t="shared" si="169"/>
        <v>2 кв.2028</v>
      </c>
      <c r="W121" s="57" t="str">
        <f t="shared" si="169"/>
        <v>3 кв.2028</v>
      </c>
      <c r="X121" s="57" t="str">
        <f t="shared" si="169"/>
        <v>4 кв.2028</v>
      </c>
      <c r="Y121" s="57" t="str">
        <f t="shared" si="169"/>
        <v>1 кв.2029</v>
      </c>
      <c r="Z121" s="57" t="str">
        <f t="shared" si="169"/>
        <v>2 кв.2029</v>
      </c>
      <c r="AA121" s="57" t="str">
        <f t="shared" si="169"/>
        <v>3 кв.2029</v>
      </c>
      <c r="AB121" s="57" t="str">
        <f t="shared" si="169"/>
        <v>4 кв.2029</v>
      </c>
      <c r="AC121" s="57" t="str">
        <f t="shared" si="169"/>
        <v>1 кв.2030</v>
      </c>
      <c r="AD121" s="57" t="str">
        <f t="shared" si="169"/>
        <v>2 кв.2030</v>
      </c>
      <c r="AE121" s="57" t="str">
        <f t="shared" si="169"/>
        <v>3 кв.2030</v>
      </c>
      <c r="AF121" s="57" t="str">
        <f t="shared" si="169"/>
        <v>4 кв.2030</v>
      </c>
      <c r="AG121" s="57" t="str">
        <f t="shared" si="169"/>
        <v>1 кв.2031</v>
      </c>
      <c r="AH121" s="57" t="str">
        <f t="shared" si="169"/>
        <v>2 кв.2031</v>
      </c>
      <c r="AI121" s="57" t="str">
        <f t="shared" si="169"/>
        <v>3 кв.2031</v>
      </c>
      <c r="AJ121" s="57" t="str">
        <f t="shared" si="169"/>
        <v>4 кв.2031</v>
      </c>
      <c r="AK121" s="57" t="str">
        <f t="shared" si="169"/>
        <v>1 кв.2032</v>
      </c>
      <c r="AL121" s="57" t="str">
        <f t="shared" si="169"/>
        <v>2 кв.2032</v>
      </c>
      <c r="AM121" s="57" t="str">
        <f t="shared" si="169"/>
        <v>3 кв.2032</v>
      </c>
      <c r="AN121" s="57" t="str">
        <f t="shared" si="169"/>
        <v>4 кв.2032</v>
      </c>
      <c r="AO121" s="57" t="str">
        <f t="shared" si="169"/>
        <v>1 кв.2033</v>
      </c>
      <c r="AP121" s="57" t="str">
        <f t="shared" si="169"/>
        <v>2 кв.2033</v>
      </c>
      <c r="AQ121" s="57" t="str">
        <f t="shared" si="169"/>
        <v>3 кв.2033</v>
      </c>
      <c r="AR121" s="57" t="str">
        <f t="shared" si="169"/>
        <v>4 кв.2033</v>
      </c>
      <c r="AS121" s="57" t="str">
        <f t="shared" si="169"/>
        <v>1 кв.2034</v>
      </c>
      <c r="AT121" s="57" t="str">
        <f t="shared" si="169"/>
        <v>2 кв.2034</v>
      </c>
      <c r="AU121" s="57" t="str">
        <f t="shared" si="169"/>
        <v>3 кв.2034</v>
      </c>
      <c r="AV121" s="57" t="str">
        <f t="shared" ref="AV121:BB121" si="170">AV89&amp;AV88</f>
        <v>4 кв.2034</v>
      </c>
      <c r="AW121" s="57" t="str">
        <f t="shared" si="170"/>
        <v>1 кв.2035</v>
      </c>
      <c r="AX121" s="57" t="str">
        <f t="shared" si="170"/>
        <v>2 кв.2035</v>
      </c>
      <c r="AY121" s="57" t="str">
        <f t="shared" si="170"/>
        <v>3 кв.2035</v>
      </c>
      <c r="AZ121" s="57" t="str">
        <f t="shared" si="170"/>
        <v>4 кв.2035</v>
      </c>
      <c r="BA121" s="57" t="str">
        <f t="shared" si="170"/>
        <v>1 кв.2036</v>
      </c>
      <c r="BB121" s="57" t="str">
        <f t="shared" si="170"/>
        <v>2 кв.2036</v>
      </c>
      <c r="BD121" s="491" t="s">
        <v>119</v>
      </c>
      <c r="BE121" s="492" t="s">
        <v>57</v>
      </c>
      <c r="BF121" s="492" t="s">
        <v>58</v>
      </c>
      <c r="BG121" s="492" t="s">
        <v>59</v>
      </c>
      <c r="BH121" s="492" t="s">
        <v>60</v>
      </c>
      <c r="BI121" s="492" t="s">
        <v>61</v>
      </c>
      <c r="BJ121" s="492" t="s">
        <v>62</v>
      </c>
      <c r="BK121" s="492" t="s">
        <v>63</v>
      </c>
      <c r="BL121" s="492" t="s">
        <v>64</v>
      </c>
      <c r="BM121" s="492" t="s">
        <v>65</v>
      </c>
      <c r="BN121" s="492" t="s">
        <v>66</v>
      </c>
      <c r="BO121" s="5"/>
      <c r="BP121" s="5"/>
      <c r="BQ121" s="5"/>
      <c r="BR121" s="5"/>
    </row>
    <row r="122" spans="1:70" ht="15.6" hidden="1" outlineLevel="1">
      <c r="B122" s="5" t="s">
        <v>366</v>
      </c>
      <c r="C122" s="11"/>
      <c r="E122" s="152"/>
      <c r="F122" s="180">
        <v>0</v>
      </c>
      <c r="G122" s="180">
        <f>'РТО Перекрестка'!R5</f>
        <v>54408557.456666671</v>
      </c>
      <c r="H122" s="467">
        <f>'РТО Перекрестка'!S5</f>
        <v>63725221.949999996</v>
      </c>
      <c r="I122" s="467">
        <f>'РТО Перекрестка'!P5*(1+15%)</f>
        <v>66845076.088</v>
      </c>
      <c r="J122" s="467">
        <f>'РТО Перекрестка'!Q5*(1+15%)</f>
        <v>67562138.133333325</v>
      </c>
      <c r="K122" s="467">
        <f>G122*(1+15%)</f>
        <v>62569841.075166665</v>
      </c>
      <c r="L122" s="467">
        <f>H122*(1+15%)</f>
        <v>73284005.242499992</v>
      </c>
      <c r="M122" s="122">
        <f>I122*(1+$C$46)</f>
        <v>73529583.696800008</v>
      </c>
      <c r="N122" s="122">
        <f>J122*(1+$C$46)</f>
        <v>74318351.946666658</v>
      </c>
      <c r="O122" s="122">
        <f t="shared" ref="O122:BB122" si="171">K122*(1+$C$46)</f>
        <v>68826825.182683334</v>
      </c>
      <c r="P122" s="122">
        <f t="shared" si="171"/>
        <v>80612405.766749993</v>
      </c>
      <c r="Q122" s="122">
        <f t="shared" si="171"/>
        <v>80882542.066480011</v>
      </c>
      <c r="R122" s="122">
        <f t="shared" si="171"/>
        <v>81750187.141333327</v>
      </c>
      <c r="S122" s="122">
        <f t="shared" si="171"/>
        <v>75709507.700951681</v>
      </c>
      <c r="T122" s="122">
        <f t="shared" si="171"/>
        <v>88673646.343425006</v>
      </c>
      <c r="U122" s="122">
        <f t="shared" si="171"/>
        <v>88970796.273128018</v>
      </c>
      <c r="V122" s="122">
        <f t="shared" si="171"/>
        <v>89925205.855466664</v>
      </c>
      <c r="W122" s="122">
        <f t="shared" si="171"/>
        <v>83280458.47104685</v>
      </c>
      <c r="X122" s="122">
        <f t="shared" si="171"/>
        <v>97541010.977767512</v>
      </c>
      <c r="Y122" s="122">
        <f t="shared" si="171"/>
        <v>97867875.900440827</v>
      </c>
      <c r="Z122" s="122">
        <f t="shared" si="171"/>
        <v>98917726.441013336</v>
      </c>
      <c r="AA122" s="122">
        <f t="shared" si="171"/>
        <v>91608504.318151549</v>
      </c>
      <c r="AB122" s="122">
        <f t="shared" si="171"/>
        <v>107295112.07554427</v>
      </c>
      <c r="AC122" s="122">
        <f t="shared" si="171"/>
        <v>107654663.49048492</v>
      </c>
      <c r="AD122" s="122">
        <f t="shared" si="171"/>
        <v>108809499.08511467</v>
      </c>
      <c r="AE122" s="122">
        <f t="shared" si="171"/>
        <v>100769354.74996671</v>
      </c>
      <c r="AF122" s="122">
        <f t="shared" si="171"/>
        <v>118024623.2830987</v>
      </c>
      <c r="AG122" s="122">
        <f t="shared" si="171"/>
        <v>118420129.83953342</v>
      </c>
      <c r="AH122" s="122">
        <f t="shared" si="171"/>
        <v>119690448.99362615</v>
      </c>
      <c r="AI122" s="122">
        <f t="shared" si="171"/>
        <v>110846290.2249634</v>
      </c>
      <c r="AJ122" s="122">
        <f t="shared" si="171"/>
        <v>129827085.61140858</v>
      </c>
      <c r="AK122" s="122">
        <f t="shared" si="171"/>
        <v>130262142.82348678</v>
      </c>
      <c r="AL122" s="122">
        <f t="shared" si="171"/>
        <v>131659493.89298877</v>
      </c>
      <c r="AM122" s="122">
        <f t="shared" si="171"/>
        <v>121930919.24745974</v>
      </c>
      <c r="AN122" s="122">
        <f t="shared" si="171"/>
        <v>142809794.17254946</v>
      </c>
      <c r="AO122" s="122">
        <f t="shared" si="171"/>
        <v>143288357.10583547</v>
      </c>
      <c r="AP122" s="122">
        <f t="shared" si="171"/>
        <v>144825443.28228766</v>
      </c>
      <c r="AQ122" s="122">
        <f t="shared" si="171"/>
        <v>134124011.17220573</v>
      </c>
      <c r="AR122" s="122">
        <f t="shared" si="171"/>
        <v>157090773.58980441</v>
      </c>
      <c r="AS122" s="122">
        <f t="shared" si="171"/>
        <v>157617192.81641904</v>
      </c>
      <c r="AT122" s="122">
        <f t="shared" si="171"/>
        <v>159307987.61051643</v>
      </c>
      <c r="AU122" s="122">
        <f t="shared" si="171"/>
        <v>147536412.28942633</v>
      </c>
      <c r="AV122" s="122">
        <f t="shared" si="171"/>
        <v>172799850.94878486</v>
      </c>
      <c r="AW122" s="122">
        <f t="shared" si="171"/>
        <v>173378912.09806097</v>
      </c>
      <c r="AX122" s="122">
        <f t="shared" si="171"/>
        <v>175238786.37156808</v>
      </c>
      <c r="AY122" s="122">
        <f t="shared" si="171"/>
        <v>162290053.51836896</v>
      </c>
      <c r="AZ122" s="122">
        <f t="shared" si="171"/>
        <v>190079836.04366335</v>
      </c>
      <c r="BA122" s="122">
        <f t="shared" si="171"/>
        <v>190716803.30786708</v>
      </c>
      <c r="BB122" s="122">
        <f t="shared" si="171"/>
        <v>192762665.0087249</v>
      </c>
      <c r="BD122" s="493" t="str">
        <f>B122</f>
        <v>Товарооборот магазина (месячный), без НДС</v>
      </c>
      <c r="BE122" s="494">
        <f>SUM(H122:K122)</f>
        <v>260702277.24649999</v>
      </c>
      <c r="BF122" s="494">
        <f>SUM(L122:O122)</f>
        <v>289958766.06865001</v>
      </c>
      <c r="BG122" s="494">
        <f>SUM(P122:S122)</f>
        <v>318954642.67551506</v>
      </c>
      <c r="BH122" s="494">
        <f>SUM(T122:W122)</f>
        <v>350850106.94306654</v>
      </c>
      <c r="BI122" s="494">
        <f>SUM(X122:AA122)</f>
        <v>385935117.63737321</v>
      </c>
      <c r="BJ122" s="494">
        <f>SUM(AB122:AE122)</f>
        <v>424528629.40111053</v>
      </c>
      <c r="BK122" s="494">
        <f>SUM(AF122:AI122)</f>
        <v>466981492.34122169</v>
      </c>
      <c r="BL122" s="494">
        <f>SUM(AJ122:AM122)</f>
        <v>513679641.57534385</v>
      </c>
      <c r="BM122" s="494">
        <f>SUM(AN122:AQ122)</f>
        <v>565047605.73287833</v>
      </c>
      <c r="BN122" s="494">
        <f>SUM(AR122:AU122)</f>
        <v>621552366.30616617</v>
      </c>
    </row>
    <row r="123" spans="1:70" s="118" customFormat="1" ht="15.6" hidden="1" outlineLevel="1" collapsed="1">
      <c r="B123" s="112" t="s">
        <v>161</v>
      </c>
      <c r="C123" s="76"/>
      <c r="D123" s="76"/>
      <c r="E123" s="153"/>
      <c r="F123" s="183"/>
      <c r="G123" s="183" t="str">
        <f>IFERROR(G122/C122-1,"n/a")</f>
        <v>n/a</v>
      </c>
      <c r="H123" s="77" t="str">
        <f>IFERROR(H122/D122-1,"n/a")</f>
        <v>n/a</v>
      </c>
      <c r="I123" s="77" t="str">
        <f>IFERROR(I122/E122-1,"n/a")</f>
        <v>n/a</v>
      </c>
      <c r="J123" s="77" t="str">
        <f t="shared" ref="J123:AU123" si="172">IFERROR(J122/F122-1,"n/a")</f>
        <v>n/a</v>
      </c>
      <c r="K123" s="77">
        <f t="shared" si="172"/>
        <v>0.14999999999999991</v>
      </c>
      <c r="L123" s="77">
        <f t="shared" si="172"/>
        <v>0.14999999999999991</v>
      </c>
      <c r="M123" s="77">
        <f t="shared" si="172"/>
        <v>0.10000000000000009</v>
      </c>
      <c r="N123" s="77">
        <f t="shared" si="172"/>
        <v>0.10000000000000009</v>
      </c>
      <c r="O123" s="77">
        <f t="shared" si="172"/>
        <v>0.10000000000000009</v>
      </c>
      <c r="P123" s="77">
        <f t="shared" si="172"/>
        <v>0.10000000000000009</v>
      </c>
      <c r="Q123" s="77">
        <f t="shared" si="172"/>
        <v>0.10000000000000009</v>
      </c>
      <c r="R123" s="77">
        <f t="shared" si="172"/>
        <v>0.10000000000000009</v>
      </c>
      <c r="S123" s="77">
        <f t="shared" si="172"/>
        <v>0.10000000000000009</v>
      </c>
      <c r="T123" s="77">
        <f t="shared" si="172"/>
        <v>0.10000000000000009</v>
      </c>
      <c r="U123" s="77">
        <f t="shared" si="172"/>
        <v>0.10000000000000009</v>
      </c>
      <c r="V123" s="77">
        <f t="shared" si="172"/>
        <v>0.10000000000000009</v>
      </c>
      <c r="W123" s="77">
        <f t="shared" si="172"/>
        <v>0.10000000000000009</v>
      </c>
      <c r="X123" s="77">
        <f t="shared" si="172"/>
        <v>0.10000000000000009</v>
      </c>
      <c r="Y123" s="77">
        <f t="shared" si="172"/>
        <v>0.10000000000000009</v>
      </c>
      <c r="Z123" s="77">
        <f t="shared" si="172"/>
        <v>0.10000000000000009</v>
      </c>
      <c r="AA123" s="77">
        <f t="shared" si="172"/>
        <v>0.10000000000000009</v>
      </c>
      <c r="AB123" s="77">
        <f t="shared" si="172"/>
        <v>0.10000000000000009</v>
      </c>
      <c r="AC123" s="77">
        <f t="shared" si="172"/>
        <v>0.10000000000000009</v>
      </c>
      <c r="AD123" s="77">
        <f t="shared" si="172"/>
        <v>0.10000000000000009</v>
      </c>
      <c r="AE123" s="77">
        <f t="shared" si="172"/>
        <v>0.10000000000000009</v>
      </c>
      <c r="AF123" s="77">
        <f t="shared" si="172"/>
        <v>0.10000000000000009</v>
      </c>
      <c r="AG123" s="77">
        <f t="shared" si="172"/>
        <v>0.10000000000000009</v>
      </c>
      <c r="AH123" s="77">
        <f t="shared" si="172"/>
        <v>0.10000000000000009</v>
      </c>
      <c r="AI123" s="77">
        <f t="shared" si="172"/>
        <v>0.10000000000000009</v>
      </c>
      <c r="AJ123" s="77">
        <f t="shared" si="172"/>
        <v>0.10000000000000009</v>
      </c>
      <c r="AK123" s="77">
        <f t="shared" si="172"/>
        <v>0.10000000000000009</v>
      </c>
      <c r="AL123" s="77">
        <f t="shared" si="172"/>
        <v>0.10000000000000009</v>
      </c>
      <c r="AM123" s="77">
        <f t="shared" si="172"/>
        <v>0.10000000000000009</v>
      </c>
      <c r="AN123" s="77">
        <f t="shared" si="172"/>
        <v>0.10000000000000009</v>
      </c>
      <c r="AO123" s="77">
        <f t="shared" si="172"/>
        <v>0.10000000000000009</v>
      </c>
      <c r="AP123" s="77">
        <f t="shared" si="172"/>
        <v>0.10000000000000009</v>
      </c>
      <c r="AQ123" s="77">
        <f t="shared" si="172"/>
        <v>0.10000000000000009</v>
      </c>
      <c r="AR123" s="77">
        <f t="shared" si="172"/>
        <v>0.10000000000000009</v>
      </c>
      <c r="AS123" s="77">
        <f t="shared" si="172"/>
        <v>0.10000000000000009</v>
      </c>
      <c r="AT123" s="77">
        <f t="shared" si="172"/>
        <v>0.10000000000000009</v>
      </c>
      <c r="AU123" s="77">
        <f t="shared" si="172"/>
        <v>0.10000000000000009</v>
      </c>
      <c r="AV123" s="77">
        <f t="shared" ref="AV123" si="173">IFERROR(AV122/AR122-1,"n/a")</f>
        <v>0.10000000000000009</v>
      </c>
      <c r="AW123" s="77">
        <f t="shared" ref="AW123" si="174">IFERROR(AW122/AS122-1,"n/a")</f>
        <v>0.10000000000000009</v>
      </c>
      <c r="AX123" s="77">
        <f t="shared" ref="AX123" si="175">IFERROR(AX122/AT122-1,"n/a")</f>
        <v>0.10000000000000009</v>
      </c>
      <c r="AY123" s="77">
        <f t="shared" ref="AY123" si="176">IFERROR(AY122/AU122-1,"n/a")</f>
        <v>0.10000000000000009</v>
      </c>
      <c r="AZ123" s="77">
        <f t="shared" ref="AZ123" si="177">IFERROR(AZ122/AV122-1,"n/a")</f>
        <v>0.10000000000000009</v>
      </c>
      <c r="BA123" s="77">
        <f t="shared" ref="BA123" si="178">IFERROR(BA122/AW122-1,"n/a")</f>
        <v>0.10000000000000009</v>
      </c>
      <c r="BB123" s="77">
        <f t="shared" ref="BB123" si="179">IFERROR(BB122/AX122-1,"n/a")</f>
        <v>0.10000000000000009</v>
      </c>
      <c r="BD123" s="495"/>
      <c r="BE123" s="495"/>
      <c r="BF123" s="495"/>
      <c r="BG123" s="495"/>
      <c r="BH123" s="495"/>
      <c r="BI123" s="495"/>
      <c r="BJ123" s="495"/>
      <c r="BK123" s="495"/>
      <c r="BL123" s="495"/>
      <c r="BM123" s="495"/>
      <c r="BN123" s="495"/>
      <c r="BO123" s="5"/>
      <c r="BP123" s="5"/>
      <c r="BQ123" s="5"/>
      <c r="BR123" s="5"/>
    </row>
    <row r="124" spans="1:70" s="88" customFormat="1" ht="5.4" hidden="1" customHeight="1" outlineLevel="1">
      <c r="A124" s="5"/>
      <c r="B124" s="73"/>
      <c r="D124" s="74"/>
      <c r="E124" s="154"/>
      <c r="F124" s="168"/>
      <c r="G124" s="168"/>
      <c r="H124" s="123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D124" s="496"/>
      <c r="BE124" s="496"/>
      <c r="BF124" s="496"/>
      <c r="BG124" s="496"/>
      <c r="BH124" s="496"/>
      <c r="BI124" s="496"/>
      <c r="BJ124" s="496"/>
      <c r="BK124" s="496"/>
      <c r="BL124" s="496"/>
      <c r="BM124" s="496"/>
      <c r="BN124" s="496"/>
      <c r="BO124" s="5"/>
      <c r="BP124" s="5"/>
      <c r="BQ124" s="5"/>
      <c r="BR124" s="5"/>
    </row>
    <row r="125" spans="1:70" ht="15.6" collapsed="1">
      <c r="B125" s="5" t="s">
        <v>170</v>
      </c>
      <c r="C125" s="11"/>
      <c r="E125" s="155">
        <f>$C$23</f>
        <v>5.7999999999999996E-2</v>
      </c>
      <c r="F125" s="223">
        <f>E125</f>
        <v>5.7999999999999996E-2</v>
      </c>
      <c r="G125" s="223">
        <f>F125</f>
        <v>5.7999999999999996E-2</v>
      </c>
      <c r="H125" s="82">
        <f>G125</f>
        <v>5.7999999999999996E-2</v>
      </c>
      <c r="I125" s="82">
        <f t="shared" ref="I125:AK125" si="180">H125</f>
        <v>5.7999999999999996E-2</v>
      </c>
      <c r="J125" s="82">
        <f t="shared" si="180"/>
        <v>5.7999999999999996E-2</v>
      </c>
      <c r="K125" s="82">
        <f t="shared" si="180"/>
        <v>5.7999999999999996E-2</v>
      </c>
      <c r="L125" s="82">
        <f t="shared" si="180"/>
        <v>5.7999999999999996E-2</v>
      </c>
      <c r="M125" s="82">
        <f>L125</f>
        <v>5.7999999999999996E-2</v>
      </c>
      <c r="N125" s="82">
        <f t="shared" si="180"/>
        <v>5.7999999999999996E-2</v>
      </c>
      <c r="O125" s="82">
        <f t="shared" si="180"/>
        <v>5.7999999999999996E-2</v>
      </c>
      <c r="P125" s="82">
        <f t="shared" si="180"/>
        <v>5.7999999999999996E-2</v>
      </c>
      <c r="Q125" s="82">
        <f t="shared" si="180"/>
        <v>5.7999999999999996E-2</v>
      </c>
      <c r="R125" s="82">
        <f t="shared" si="180"/>
        <v>5.7999999999999996E-2</v>
      </c>
      <c r="S125" s="82">
        <f t="shared" si="180"/>
        <v>5.7999999999999996E-2</v>
      </c>
      <c r="T125" s="82">
        <f t="shared" si="180"/>
        <v>5.7999999999999996E-2</v>
      </c>
      <c r="U125" s="82">
        <f t="shared" si="180"/>
        <v>5.7999999999999996E-2</v>
      </c>
      <c r="V125" s="82">
        <f t="shared" si="180"/>
        <v>5.7999999999999996E-2</v>
      </c>
      <c r="W125" s="82">
        <f t="shared" si="180"/>
        <v>5.7999999999999996E-2</v>
      </c>
      <c r="X125" s="82">
        <f t="shared" si="180"/>
        <v>5.7999999999999996E-2</v>
      </c>
      <c r="Y125" s="82">
        <f t="shared" si="180"/>
        <v>5.7999999999999996E-2</v>
      </c>
      <c r="Z125" s="82">
        <f t="shared" si="180"/>
        <v>5.7999999999999996E-2</v>
      </c>
      <c r="AA125" s="82">
        <f t="shared" si="180"/>
        <v>5.7999999999999996E-2</v>
      </c>
      <c r="AB125" s="82">
        <f t="shared" si="180"/>
        <v>5.7999999999999996E-2</v>
      </c>
      <c r="AC125" s="82">
        <f t="shared" si="180"/>
        <v>5.7999999999999996E-2</v>
      </c>
      <c r="AD125" s="82">
        <f t="shared" si="180"/>
        <v>5.7999999999999996E-2</v>
      </c>
      <c r="AE125" s="82">
        <f t="shared" si="180"/>
        <v>5.7999999999999996E-2</v>
      </c>
      <c r="AF125" s="82">
        <f t="shared" si="180"/>
        <v>5.7999999999999996E-2</v>
      </c>
      <c r="AG125" s="82">
        <f t="shared" si="180"/>
        <v>5.7999999999999996E-2</v>
      </c>
      <c r="AH125" s="82">
        <f t="shared" si="180"/>
        <v>5.7999999999999996E-2</v>
      </c>
      <c r="AI125" s="82">
        <f t="shared" si="180"/>
        <v>5.7999999999999996E-2</v>
      </c>
      <c r="AJ125" s="82">
        <f t="shared" si="180"/>
        <v>5.7999999999999996E-2</v>
      </c>
      <c r="AK125" s="82">
        <f t="shared" si="180"/>
        <v>5.7999999999999996E-2</v>
      </c>
      <c r="AL125" s="485">
        <f>$C$48</f>
        <v>7.0000000000000007E-2</v>
      </c>
      <c r="AM125" s="82">
        <f>AL125</f>
        <v>7.0000000000000007E-2</v>
      </c>
      <c r="AN125" s="82">
        <f t="shared" ref="AN125:AU125" si="181">AM125</f>
        <v>7.0000000000000007E-2</v>
      </c>
      <c r="AO125" s="82">
        <f t="shared" si="181"/>
        <v>7.0000000000000007E-2</v>
      </c>
      <c r="AP125" s="82">
        <f t="shared" si="181"/>
        <v>7.0000000000000007E-2</v>
      </c>
      <c r="AQ125" s="82">
        <f t="shared" si="181"/>
        <v>7.0000000000000007E-2</v>
      </c>
      <c r="AR125" s="82">
        <f t="shared" si="181"/>
        <v>7.0000000000000007E-2</v>
      </c>
      <c r="AS125" s="82">
        <f t="shared" si="181"/>
        <v>7.0000000000000007E-2</v>
      </c>
      <c r="AT125" s="82">
        <f t="shared" si="181"/>
        <v>7.0000000000000007E-2</v>
      </c>
      <c r="AU125" s="82">
        <f t="shared" si="181"/>
        <v>7.0000000000000007E-2</v>
      </c>
      <c r="AV125" s="82">
        <f t="shared" ref="AV125" si="182">AU125</f>
        <v>7.0000000000000007E-2</v>
      </c>
      <c r="AW125" s="82">
        <f t="shared" ref="AW125" si="183">AV125</f>
        <v>7.0000000000000007E-2</v>
      </c>
      <c r="AX125" s="82">
        <f t="shared" ref="AX125" si="184">AW125</f>
        <v>7.0000000000000007E-2</v>
      </c>
      <c r="AY125" s="82">
        <f t="shared" ref="AY125" si="185">AX125</f>
        <v>7.0000000000000007E-2</v>
      </c>
      <c r="AZ125" s="82">
        <f t="shared" ref="AZ125" si="186">AY125</f>
        <v>7.0000000000000007E-2</v>
      </c>
      <c r="BA125" s="82">
        <f t="shared" ref="BA125" si="187">AZ125</f>
        <v>7.0000000000000007E-2</v>
      </c>
      <c r="BB125" s="82">
        <f t="shared" ref="BB125" si="188">BA125</f>
        <v>7.0000000000000007E-2</v>
      </c>
      <c r="BD125" s="497" t="s">
        <v>170</v>
      </c>
      <c r="BE125" s="515">
        <f>AVERAGEIF($I$2:$AW$2,BE$2,$I125:$AW125)</f>
        <v>5.7999999999999996E-2</v>
      </c>
      <c r="BF125" s="515">
        <f t="shared" ref="BF125:BN125" si="189">AVERAGEIF($I$2:$AW$2,BF$2,$I125:$AW125)</f>
        <v>5.7999999999999996E-2</v>
      </c>
      <c r="BG125" s="515">
        <f t="shared" si="189"/>
        <v>5.7999999999999996E-2</v>
      </c>
      <c r="BH125" s="515">
        <f t="shared" si="189"/>
        <v>5.7999999999999996E-2</v>
      </c>
      <c r="BI125" s="515">
        <f t="shared" si="189"/>
        <v>5.7999999999999996E-2</v>
      </c>
      <c r="BJ125" s="515">
        <f t="shared" si="189"/>
        <v>5.7999999999999996E-2</v>
      </c>
      <c r="BK125" s="515">
        <f t="shared" si="189"/>
        <v>5.7999999999999996E-2</v>
      </c>
      <c r="BL125" s="515">
        <f t="shared" si="189"/>
        <v>7.0000000000000007E-2</v>
      </c>
      <c r="BM125" s="515">
        <f t="shared" si="189"/>
        <v>7.0000000000000007E-2</v>
      </c>
      <c r="BN125" s="515">
        <f t="shared" si="189"/>
        <v>7.0000000000000007E-2</v>
      </c>
    </row>
    <row r="126" spans="1:70" hidden="1" outlineLevel="1">
      <c r="B126" s="5" t="s">
        <v>162</v>
      </c>
      <c r="C126" s="11"/>
      <c r="E126" s="152">
        <f>E122*E125*3</f>
        <v>0</v>
      </c>
      <c r="F126" s="182">
        <f>F122*F125*3</f>
        <v>0</v>
      </c>
      <c r="G126" s="182">
        <f>G122*G125*3</f>
        <v>9467088.9974600002</v>
      </c>
      <c r="H126" s="122">
        <f>H122*H125*3</f>
        <v>11088188.619299999</v>
      </c>
      <c r="I126" s="122">
        <f t="shared" ref="I126:AT126" si="190">I122*I125*3</f>
        <v>11631043.239311999</v>
      </c>
      <c r="J126" s="122">
        <f>J122*J125*3</f>
        <v>11755812.035199998</v>
      </c>
      <c r="K126" s="122">
        <f t="shared" si="190"/>
        <v>10887152.347078998</v>
      </c>
      <c r="L126" s="122">
        <f>L122*L125*3</f>
        <v>12751416.912194997</v>
      </c>
      <c r="M126" s="122">
        <f t="shared" si="190"/>
        <v>12794147.563243203</v>
      </c>
      <c r="N126" s="122">
        <f t="shared" si="190"/>
        <v>12931393.23872</v>
      </c>
      <c r="O126" s="122">
        <f t="shared" si="190"/>
        <v>11975867.581786901</v>
      </c>
      <c r="P126" s="122">
        <f t="shared" si="190"/>
        <v>14026558.603414498</v>
      </c>
      <c r="Q126" s="122">
        <f t="shared" si="190"/>
        <v>14073562.31956752</v>
      </c>
      <c r="R126" s="122">
        <f t="shared" si="190"/>
        <v>14224532.562591998</v>
      </c>
      <c r="S126" s="122">
        <f t="shared" si="190"/>
        <v>13173454.339965591</v>
      </c>
      <c r="T126" s="122">
        <f t="shared" si="190"/>
        <v>15429214.46375595</v>
      </c>
      <c r="U126" s="122">
        <f t="shared" si="190"/>
        <v>15480918.551524274</v>
      </c>
      <c r="V126" s="122">
        <f t="shared" si="190"/>
        <v>15646985.818851197</v>
      </c>
      <c r="W126" s="122">
        <f t="shared" si="190"/>
        <v>14490799.773962151</v>
      </c>
      <c r="X126" s="122">
        <f t="shared" si="190"/>
        <v>16972135.910131544</v>
      </c>
      <c r="Y126" s="122">
        <f t="shared" si="190"/>
        <v>17029010.406676702</v>
      </c>
      <c r="Z126" s="122">
        <f>Z122*Z125*3</f>
        <v>17211684.400736317</v>
      </c>
      <c r="AA126" s="122">
        <f t="shared" si="190"/>
        <v>15939879.751358368</v>
      </c>
      <c r="AB126" s="122">
        <f t="shared" si="190"/>
        <v>18669349.501144703</v>
      </c>
      <c r="AC126" s="122">
        <f t="shared" si="190"/>
        <v>18731911.447344378</v>
      </c>
      <c r="AD126" s="122">
        <f t="shared" si="190"/>
        <v>18932852.840809949</v>
      </c>
      <c r="AE126" s="122">
        <f t="shared" si="190"/>
        <v>17533867.726494208</v>
      </c>
      <c r="AF126" s="122">
        <f t="shared" si="190"/>
        <v>20536284.451259173</v>
      </c>
      <c r="AG126" s="122">
        <f t="shared" si="190"/>
        <v>20605102.592078812</v>
      </c>
      <c r="AH126" s="122">
        <f t="shared" si="190"/>
        <v>20826138.12489095</v>
      </c>
      <c r="AI126" s="122">
        <f t="shared" si="190"/>
        <v>19287254.49914363</v>
      </c>
      <c r="AJ126" s="122">
        <f t="shared" si="190"/>
        <v>22589912.896385089</v>
      </c>
      <c r="AK126" s="122">
        <f t="shared" si="190"/>
        <v>22665612.851286698</v>
      </c>
      <c r="AL126" s="122">
        <f>AL122*AL125*3</f>
        <v>27648493.717527643</v>
      </c>
      <c r="AM126" s="122">
        <f t="shared" si="190"/>
        <v>25605493.04196655</v>
      </c>
      <c r="AN126" s="122">
        <f>AN122*AN125*3</f>
        <v>29990056.776235387</v>
      </c>
      <c r="AO126" s="122">
        <f t="shared" si="190"/>
        <v>30090554.99222545</v>
      </c>
      <c r="AP126" s="122">
        <f t="shared" si="190"/>
        <v>30413343.089280412</v>
      </c>
      <c r="AQ126" s="122">
        <f t="shared" si="190"/>
        <v>28166042.346163206</v>
      </c>
      <c r="AR126" s="122">
        <f t="shared" si="190"/>
        <v>32989062.453858927</v>
      </c>
      <c r="AS126" s="122">
        <f t="shared" si="190"/>
        <v>33099610.491448</v>
      </c>
      <c r="AT126" s="122">
        <f t="shared" si="190"/>
        <v>33454677.398208451</v>
      </c>
      <c r="AU126" s="122">
        <f t="shared" ref="AU126:BB126" si="191">AU122*AU125*3</f>
        <v>30982646.58077953</v>
      </c>
      <c r="AV126" s="122">
        <f t="shared" si="191"/>
        <v>36287968.699244827</v>
      </c>
      <c r="AW126" s="122">
        <f t="shared" si="191"/>
        <v>36409571.540592805</v>
      </c>
      <c r="AX126" s="122">
        <f t="shared" si="191"/>
        <v>36800145.138029307</v>
      </c>
      <c r="AY126" s="122">
        <f t="shared" si="191"/>
        <v>34080911.238857485</v>
      </c>
      <c r="AZ126" s="122">
        <f t="shared" si="191"/>
        <v>39916765.569169313</v>
      </c>
      <c r="BA126" s="122">
        <f t="shared" si="191"/>
        <v>40050528.694652095</v>
      </c>
      <c r="BB126" s="122">
        <f t="shared" si="191"/>
        <v>40480159.65183223</v>
      </c>
      <c r="BD126" s="498" t="s">
        <v>162</v>
      </c>
      <c r="BE126" s="499"/>
      <c r="BF126" s="499"/>
      <c r="BG126" s="499"/>
      <c r="BH126" s="499"/>
      <c r="BI126" s="499"/>
      <c r="BJ126" s="499"/>
      <c r="BK126" s="499"/>
      <c r="BL126" s="499"/>
      <c r="BM126" s="499"/>
      <c r="BN126" s="499"/>
    </row>
    <row r="127" spans="1:70" hidden="1" outlineLevel="1">
      <c r="B127" s="5" t="s">
        <v>163</v>
      </c>
      <c r="C127" s="11"/>
      <c r="E127" s="152">
        <f>$C$21*3</f>
        <v>10200000</v>
      </c>
      <c r="F127" s="182">
        <v>0</v>
      </c>
      <c r="G127" s="182">
        <f>E127</f>
        <v>10200000</v>
      </c>
      <c r="H127" s="122">
        <f>G127</f>
        <v>10200000</v>
      </c>
      <c r="I127" s="122">
        <f>H127</f>
        <v>10200000</v>
      </c>
      <c r="J127" s="122">
        <f>I127*(1+$C$24)</f>
        <v>10659000</v>
      </c>
      <c r="K127" s="122">
        <f>G127*(1+$C$24)</f>
        <v>10659000</v>
      </c>
      <c r="L127" s="122">
        <f>H127*(1+$C$24)</f>
        <v>10659000</v>
      </c>
      <c r="M127" s="122">
        <f>I127*(1+$C$24)</f>
        <v>10659000</v>
      </c>
      <c r="N127" s="122">
        <f t="shared" ref="N127:AU127" si="192">J127*(1+$C$24)</f>
        <v>11138655</v>
      </c>
      <c r="O127" s="122">
        <f t="shared" si="192"/>
        <v>11138655</v>
      </c>
      <c r="P127" s="122">
        <f t="shared" si="192"/>
        <v>11138655</v>
      </c>
      <c r="Q127" s="122">
        <f t="shared" si="192"/>
        <v>11138655</v>
      </c>
      <c r="R127" s="122">
        <f t="shared" si="192"/>
        <v>11639894.475</v>
      </c>
      <c r="S127" s="122">
        <f t="shared" si="192"/>
        <v>11639894.475</v>
      </c>
      <c r="T127" s="122">
        <f t="shared" si="192"/>
        <v>11639894.475</v>
      </c>
      <c r="U127" s="122">
        <f t="shared" si="192"/>
        <v>11639894.475</v>
      </c>
      <c r="V127" s="122">
        <f t="shared" si="192"/>
        <v>12163689.726374999</v>
      </c>
      <c r="W127" s="122">
        <f t="shared" si="192"/>
        <v>12163689.726374999</v>
      </c>
      <c r="X127" s="122">
        <f t="shared" si="192"/>
        <v>12163689.726374999</v>
      </c>
      <c r="Y127" s="122">
        <f t="shared" si="192"/>
        <v>12163689.726374999</v>
      </c>
      <c r="Z127" s="122">
        <f t="shared" si="192"/>
        <v>12711055.764061872</v>
      </c>
      <c r="AA127" s="122">
        <f t="shared" si="192"/>
        <v>12711055.764061872</v>
      </c>
      <c r="AB127" s="122">
        <f t="shared" si="192"/>
        <v>12711055.764061872</v>
      </c>
      <c r="AC127" s="122">
        <f t="shared" si="192"/>
        <v>12711055.764061872</v>
      </c>
      <c r="AD127" s="122">
        <f t="shared" si="192"/>
        <v>13283053.273444654</v>
      </c>
      <c r="AE127" s="122">
        <f t="shared" si="192"/>
        <v>13283053.273444654</v>
      </c>
      <c r="AF127" s="122">
        <f t="shared" si="192"/>
        <v>13283053.273444654</v>
      </c>
      <c r="AG127" s="122">
        <f t="shared" si="192"/>
        <v>13283053.273444654</v>
      </c>
      <c r="AH127" s="122">
        <f t="shared" si="192"/>
        <v>13880790.670749662</v>
      </c>
      <c r="AI127" s="122">
        <f t="shared" si="192"/>
        <v>13880790.670749662</v>
      </c>
      <c r="AJ127" s="122">
        <f t="shared" si="192"/>
        <v>13880790.670749662</v>
      </c>
      <c r="AK127" s="122">
        <f t="shared" si="192"/>
        <v>13880790.670749662</v>
      </c>
      <c r="AL127" s="122">
        <f>AH127*(1+$C$24)</f>
        <v>14505426.250933396</v>
      </c>
      <c r="AM127" s="122">
        <f t="shared" si="192"/>
        <v>14505426.250933396</v>
      </c>
      <c r="AN127" s="122">
        <f t="shared" si="192"/>
        <v>14505426.250933396</v>
      </c>
      <c r="AO127" s="122">
        <f t="shared" si="192"/>
        <v>14505426.250933396</v>
      </c>
      <c r="AP127" s="122">
        <f t="shared" si="192"/>
        <v>15158170.432225397</v>
      </c>
      <c r="AQ127" s="122">
        <f t="shared" si="192"/>
        <v>15158170.432225397</v>
      </c>
      <c r="AR127" s="122">
        <f t="shared" si="192"/>
        <v>15158170.432225397</v>
      </c>
      <c r="AS127" s="122">
        <f t="shared" si="192"/>
        <v>15158170.432225397</v>
      </c>
      <c r="AT127" s="122">
        <f t="shared" si="192"/>
        <v>15840288.101675538</v>
      </c>
      <c r="AU127" s="122">
        <f t="shared" si="192"/>
        <v>15840288.101675538</v>
      </c>
      <c r="AV127" s="122">
        <f t="shared" ref="AV127" si="193">AR127*(1+$C$24)</f>
        <v>15840288.101675538</v>
      </c>
      <c r="AW127" s="122">
        <f t="shared" ref="AW127" si="194">AS127*(1+$C$24)</f>
        <v>15840288.101675538</v>
      </c>
      <c r="AX127" s="122">
        <f t="shared" ref="AX127" si="195">AT127*(1+$C$24)</f>
        <v>16553101.066250937</v>
      </c>
      <c r="AY127" s="122">
        <f t="shared" ref="AY127" si="196">AU127*(1+$C$24)</f>
        <v>16553101.066250937</v>
      </c>
      <c r="AZ127" s="122">
        <f t="shared" ref="AZ127" si="197">AV127*(1+$C$24)</f>
        <v>16553101.066250937</v>
      </c>
      <c r="BA127" s="122">
        <f t="shared" ref="BA127" si="198">AW127*(1+$C$24)</f>
        <v>16553101.066250937</v>
      </c>
      <c r="BB127" s="122">
        <f t="shared" ref="BB127" si="199">AX127*(1+$C$24)</f>
        <v>17297990.614232227</v>
      </c>
      <c r="BD127" s="498" t="s">
        <v>163</v>
      </c>
      <c r="BE127" s="499"/>
      <c r="BF127" s="499"/>
      <c r="BG127" s="499"/>
      <c r="BH127" s="499"/>
      <c r="BI127" s="499"/>
      <c r="BJ127" s="499"/>
      <c r="BK127" s="499"/>
      <c r="BL127" s="499"/>
      <c r="BM127" s="499"/>
      <c r="BN127" s="499"/>
    </row>
    <row r="128" spans="1:70" s="88" customFormat="1" ht="5.4" hidden="1" customHeight="1" outlineLevel="1" collapsed="1">
      <c r="A128" s="5"/>
      <c r="B128" s="73"/>
      <c r="D128" s="74"/>
      <c r="E128" s="154"/>
      <c r="F128" s="168"/>
      <c r="G128" s="183"/>
      <c r="H128" s="486"/>
      <c r="I128" s="484"/>
      <c r="J128" s="484"/>
      <c r="K128" s="484"/>
      <c r="L128" s="484"/>
      <c r="M128" s="484"/>
      <c r="N128" s="484"/>
      <c r="O128" s="484"/>
      <c r="P128" s="484"/>
      <c r="Q128" s="484"/>
      <c r="R128" s="484"/>
      <c r="S128" s="484"/>
      <c r="T128" s="484"/>
      <c r="U128" s="484"/>
      <c r="V128" s="484"/>
      <c r="W128" s="484"/>
      <c r="X128" s="484"/>
      <c r="Y128" s="484"/>
      <c r="Z128" s="484"/>
      <c r="AA128" s="484"/>
      <c r="AB128" s="484"/>
      <c r="AC128" s="484"/>
      <c r="AD128" s="484"/>
      <c r="AE128" s="484"/>
      <c r="AF128" s="484"/>
      <c r="AG128" s="484"/>
      <c r="AH128" s="484"/>
      <c r="AI128" s="484"/>
      <c r="AJ128" s="484"/>
      <c r="AK128" s="484"/>
      <c r="AL128" s="484"/>
      <c r="AM128" s="484"/>
      <c r="AN128" s="484"/>
      <c r="AO128" s="484"/>
      <c r="AP128" s="484"/>
      <c r="AQ128" s="484"/>
      <c r="AR128" s="484"/>
      <c r="AS128" s="484"/>
      <c r="AT128" s="484"/>
      <c r="AU128" s="484"/>
      <c r="AV128" s="484"/>
      <c r="AW128" s="484"/>
      <c r="AX128" s="484"/>
      <c r="AY128" s="484"/>
      <c r="AZ128" s="484"/>
      <c r="BA128" s="484"/>
      <c r="BB128" s="484"/>
      <c r="BD128" s="500">
        <v>0</v>
      </c>
      <c r="BE128" s="501"/>
      <c r="BF128" s="501"/>
      <c r="BG128" s="501"/>
      <c r="BH128" s="501"/>
      <c r="BI128" s="501"/>
      <c r="BJ128" s="501"/>
      <c r="BK128" s="501"/>
      <c r="BL128" s="501"/>
      <c r="BM128" s="501"/>
      <c r="BN128" s="501"/>
    </row>
    <row r="129" spans="1:66" s="21" customFormat="1" ht="15.6" collapsed="1">
      <c r="A129" s="5"/>
      <c r="B129" s="68" t="s">
        <v>19</v>
      </c>
      <c r="C129" s="69"/>
      <c r="D129" s="70"/>
      <c r="E129" s="113"/>
      <c r="F129" s="166">
        <f>SUM('Отчетность АО9 2024'!F2:H2)</f>
        <v>0</v>
      </c>
      <c r="G129" s="166">
        <f>SUM('Отчетность АО9 2024'!I2:K2)</f>
        <v>9870967.7400000002</v>
      </c>
      <c r="H129" s="72">
        <f>G127</f>
        <v>10200000</v>
      </c>
      <c r="I129" s="72">
        <f t="shared" ref="I129" si="200">MAX(I126:I127)</f>
        <v>11631043.239311999</v>
      </c>
      <c r="J129" s="72">
        <f>MAX(J126:J127)</f>
        <v>11755812.035199998</v>
      </c>
      <c r="K129" s="72">
        <f>MAX(K126:K127)</f>
        <v>10887152.347078998</v>
      </c>
      <c r="L129" s="72">
        <f>MAX(L126:L127)</f>
        <v>12751416.912194997</v>
      </c>
      <c r="M129" s="72">
        <f t="shared" ref="M129:AT129" si="201">MAX(M126:M127)</f>
        <v>12794147.563243203</v>
      </c>
      <c r="N129" s="72">
        <f t="shared" si="201"/>
        <v>12931393.23872</v>
      </c>
      <c r="O129" s="72">
        <f t="shared" si="201"/>
        <v>11975867.581786901</v>
      </c>
      <c r="P129" s="72">
        <f t="shared" si="201"/>
        <v>14026558.603414498</v>
      </c>
      <c r="Q129" s="72">
        <f t="shared" si="201"/>
        <v>14073562.31956752</v>
      </c>
      <c r="R129" s="72">
        <f t="shared" si="201"/>
        <v>14224532.562591998</v>
      </c>
      <c r="S129" s="72">
        <f t="shared" si="201"/>
        <v>13173454.339965591</v>
      </c>
      <c r="T129" s="72">
        <f t="shared" si="201"/>
        <v>15429214.46375595</v>
      </c>
      <c r="U129" s="72">
        <f t="shared" si="201"/>
        <v>15480918.551524274</v>
      </c>
      <c r="V129" s="72">
        <f t="shared" si="201"/>
        <v>15646985.818851197</v>
      </c>
      <c r="W129" s="72">
        <f t="shared" si="201"/>
        <v>14490799.773962151</v>
      </c>
      <c r="X129" s="72">
        <f t="shared" si="201"/>
        <v>16972135.910131544</v>
      </c>
      <c r="Y129" s="72">
        <f t="shared" si="201"/>
        <v>17029010.406676702</v>
      </c>
      <c r="Z129" s="72">
        <f t="shared" si="201"/>
        <v>17211684.400736317</v>
      </c>
      <c r="AA129" s="72">
        <f t="shared" si="201"/>
        <v>15939879.751358368</v>
      </c>
      <c r="AB129" s="72">
        <f t="shared" si="201"/>
        <v>18669349.501144703</v>
      </c>
      <c r="AC129" s="72">
        <f t="shared" si="201"/>
        <v>18731911.447344378</v>
      </c>
      <c r="AD129" s="72">
        <f t="shared" si="201"/>
        <v>18932852.840809949</v>
      </c>
      <c r="AE129" s="72">
        <f t="shared" si="201"/>
        <v>17533867.726494208</v>
      </c>
      <c r="AF129" s="72">
        <f t="shared" si="201"/>
        <v>20536284.451259173</v>
      </c>
      <c r="AG129" s="72">
        <f t="shared" si="201"/>
        <v>20605102.592078812</v>
      </c>
      <c r="AH129" s="72">
        <f t="shared" si="201"/>
        <v>20826138.12489095</v>
      </c>
      <c r="AI129" s="72">
        <f t="shared" si="201"/>
        <v>19287254.49914363</v>
      </c>
      <c r="AJ129" s="72">
        <f t="shared" si="201"/>
        <v>22589912.896385089</v>
      </c>
      <c r="AK129" s="72">
        <f t="shared" si="201"/>
        <v>22665612.851286698</v>
      </c>
      <c r="AL129" s="72">
        <f>MAX(AL126:AL127)</f>
        <v>27648493.717527643</v>
      </c>
      <c r="AM129" s="72">
        <f t="shared" si="201"/>
        <v>25605493.04196655</v>
      </c>
      <c r="AN129" s="72">
        <f t="shared" si="201"/>
        <v>29990056.776235387</v>
      </c>
      <c r="AO129" s="72">
        <f t="shared" si="201"/>
        <v>30090554.99222545</v>
      </c>
      <c r="AP129" s="72">
        <f t="shared" si="201"/>
        <v>30413343.089280412</v>
      </c>
      <c r="AQ129" s="72">
        <f t="shared" si="201"/>
        <v>28166042.346163206</v>
      </c>
      <c r="AR129" s="72">
        <f t="shared" si="201"/>
        <v>32989062.453858927</v>
      </c>
      <c r="AS129" s="72">
        <f t="shared" si="201"/>
        <v>33099610.491448</v>
      </c>
      <c r="AT129" s="72">
        <f t="shared" si="201"/>
        <v>33454677.398208451</v>
      </c>
      <c r="AU129" s="72">
        <f t="shared" ref="AU129:BB129" si="202">MAX(AU126:AU127)</f>
        <v>30982646.58077953</v>
      </c>
      <c r="AV129" s="72">
        <f t="shared" si="202"/>
        <v>36287968.699244827</v>
      </c>
      <c r="AW129" s="72">
        <f t="shared" si="202"/>
        <v>36409571.540592805</v>
      </c>
      <c r="AX129" s="72">
        <f t="shared" si="202"/>
        <v>36800145.138029307</v>
      </c>
      <c r="AY129" s="72">
        <f t="shared" si="202"/>
        <v>34080911.238857485</v>
      </c>
      <c r="AZ129" s="72">
        <f t="shared" si="202"/>
        <v>39916765.569169313</v>
      </c>
      <c r="BA129" s="72">
        <f t="shared" si="202"/>
        <v>40050528.694652095</v>
      </c>
      <c r="BB129" s="72">
        <f t="shared" si="202"/>
        <v>40480159.65183223</v>
      </c>
      <c r="BD129" s="502" t="s">
        <v>19</v>
      </c>
      <c r="BE129" s="503">
        <f>SUMIF($H$2:$BB$2,BE$2,$H129:$BB129)</f>
        <v>48188528.857717194</v>
      </c>
      <c r="BF129" s="503">
        <f t="shared" ref="BF129:BN129" si="203">SUMIF($H$2:$BB$2,BF$2,$H129:$BB129)</f>
        <v>53007381.743488923</v>
      </c>
      <c r="BG129" s="503">
        <f t="shared" si="203"/>
        <v>58308119.917837813</v>
      </c>
      <c r="BH129" s="503">
        <f t="shared" si="203"/>
        <v>64138931.909621596</v>
      </c>
      <c r="BI129" s="503">
        <f t="shared" si="203"/>
        <v>70552825.100583762</v>
      </c>
      <c r="BJ129" s="503">
        <f t="shared" si="203"/>
        <v>77608107.610642135</v>
      </c>
      <c r="BK129" s="503">
        <f t="shared" si="203"/>
        <v>85368918.371706367</v>
      </c>
      <c r="BL129" s="503">
        <f t="shared" si="203"/>
        <v>113334598.52795504</v>
      </c>
      <c r="BM129" s="503">
        <f t="shared" si="203"/>
        <v>124668058.38075055</v>
      </c>
      <c r="BN129" s="503">
        <f t="shared" si="203"/>
        <v>137134864.21882561</v>
      </c>
    </row>
    <row r="130" spans="1:66" s="118" customFormat="1" ht="15.6">
      <c r="B130" s="75" t="s">
        <v>56</v>
      </c>
      <c r="C130" s="76"/>
      <c r="D130" s="76"/>
      <c r="E130" s="153"/>
      <c r="F130" s="169"/>
      <c r="G130" s="169"/>
      <c r="H130" s="484" t="str">
        <f>IFERROR(H129/D129-1,"n/a")</f>
        <v>n/a</v>
      </c>
      <c r="I130" s="484" t="str">
        <f>IFERROR(I129/E129-1,"n/a")</f>
        <v>n/a</v>
      </c>
      <c r="J130" s="484" t="str">
        <f>IFERROR(J129/F129-1,"n/a")</f>
        <v>n/a</v>
      </c>
      <c r="K130" s="484">
        <f>IFERROR(K129/G129-1,"n/a")</f>
        <v>0.10294680661969191</v>
      </c>
      <c r="L130" s="484">
        <f>IFERROR(L129/H129-1,"n/a")</f>
        <v>0.25013891296029378</v>
      </c>
      <c r="M130" s="484">
        <f t="shared" ref="M130:AU130" si="204">IFERROR(M129/I129-1,"n/a")</f>
        <v>0.10000000000000031</v>
      </c>
      <c r="N130" s="484">
        <f t="shared" si="204"/>
        <v>0.10000000000000009</v>
      </c>
      <c r="O130" s="484">
        <f t="shared" si="204"/>
        <v>0.10000000000000031</v>
      </c>
      <c r="P130" s="484">
        <f t="shared" si="204"/>
        <v>0.10000000000000009</v>
      </c>
      <c r="Q130" s="484">
        <f t="shared" si="204"/>
        <v>9.9999999999999867E-2</v>
      </c>
      <c r="R130" s="484">
        <f t="shared" si="204"/>
        <v>9.9999999999999867E-2</v>
      </c>
      <c r="S130" s="484">
        <f t="shared" si="204"/>
        <v>0.10000000000000009</v>
      </c>
      <c r="T130" s="484">
        <f t="shared" si="204"/>
        <v>0.10000000000000009</v>
      </c>
      <c r="U130" s="484">
        <f t="shared" si="204"/>
        <v>0.10000000000000009</v>
      </c>
      <c r="V130" s="484">
        <f t="shared" si="204"/>
        <v>9.9999999999999867E-2</v>
      </c>
      <c r="W130" s="484">
        <f t="shared" si="204"/>
        <v>0.10000000000000009</v>
      </c>
      <c r="X130" s="484">
        <f t="shared" si="204"/>
        <v>9.9999999999999867E-2</v>
      </c>
      <c r="Y130" s="484">
        <f t="shared" si="204"/>
        <v>0.10000000000000009</v>
      </c>
      <c r="Z130" s="484">
        <f t="shared" si="204"/>
        <v>0.10000000000000009</v>
      </c>
      <c r="AA130" s="484">
        <f t="shared" si="204"/>
        <v>0.10000000000000009</v>
      </c>
      <c r="AB130" s="484">
        <f t="shared" si="204"/>
        <v>0.10000000000000031</v>
      </c>
      <c r="AC130" s="484">
        <f t="shared" si="204"/>
        <v>0.10000000000000031</v>
      </c>
      <c r="AD130" s="484">
        <f t="shared" si="204"/>
        <v>0.10000000000000009</v>
      </c>
      <c r="AE130" s="484">
        <f t="shared" si="204"/>
        <v>0.10000000000000031</v>
      </c>
      <c r="AF130" s="484">
        <f t="shared" si="204"/>
        <v>0.10000000000000009</v>
      </c>
      <c r="AG130" s="484">
        <f t="shared" si="204"/>
        <v>9.9999999999999867E-2</v>
      </c>
      <c r="AH130" s="484">
        <f t="shared" si="204"/>
        <v>0.10000000000000031</v>
      </c>
      <c r="AI130" s="484">
        <f t="shared" si="204"/>
        <v>0.10000000000000009</v>
      </c>
      <c r="AJ130" s="484">
        <f t="shared" si="204"/>
        <v>9.9999999999999867E-2</v>
      </c>
      <c r="AK130" s="484">
        <f t="shared" si="204"/>
        <v>0.10000000000000031</v>
      </c>
      <c r="AL130" s="484">
        <f t="shared" si="204"/>
        <v>0.32758620689655182</v>
      </c>
      <c r="AM130" s="484">
        <f t="shared" si="204"/>
        <v>0.32758620689655205</v>
      </c>
      <c r="AN130" s="484">
        <f>IFERROR(AN129/AJ129-1,"n/a")</f>
        <v>0.32758620689655227</v>
      </c>
      <c r="AO130" s="484">
        <f t="shared" si="204"/>
        <v>0.32758620689655205</v>
      </c>
      <c r="AP130" s="484">
        <f t="shared" si="204"/>
        <v>0.10000000000000009</v>
      </c>
      <c r="AQ130" s="484">
        <f t="shared" si="204"/>
        <v>0.10000000000000009</v>
      </c>
      <c r="AR130" s="484">
        <f t="shared" si="204"/>
        <v>0.10000000000000009</v>
      </c>
      <c r="AS130" s="484">
        <f t="shared" si="204"/>
        <v>0.10000000000000009</v>
      </c>
      <c r="AT130" s="484">
        <f t="shared" si="204"/>
        <v>9.9999999999999867E-2</v>
      </c>
      <c r="AU130" s="484">
        <f t="shared" si="204"/>
        <v>0.10000000000000009</v>
      </c>
      <c r="AV130" s="484">
        <f t="shared" ref="AV130" si="205">IFERROR(AV129/AR129-1,"n/a")</f>
        <v>0.10000000000000031</v>
      </c>
      <c r="AW130" s="484">
        <f t="shared" ref="AW130" si="206">IFERROR(AW129/AS129-1,"n/a")</f>
        <v>0.10000000000000009</v>
      </c>
      <c r="AX130" s="484">
        <f t="shared" ref="AX130" si="207">IFERROR(AX129/AT129-1,"n/a")</f>
        <v>0.10000000000000031</v>
      </c>
      <c r="AY130" s="484">
        <f t="shared" ref="AY130" si="208">IFERROR(AY129/AU129-1,"n/a")</f>
        <v>0.10000000000000009</v>
      </c>
      <c r="AZ130" s="484">
        <f t="shared" ref="AZ130" si="209">IFERROR(AZ129/AV129-1,"n/a")</f>
        <v>0.10000000000000009</v>
      </c>
      <c r="BA130" s="484">
        <f t="shared" ref="BA130" si="210">IFERROR(BA129/AW129-1,"n/a")</f>
        <v>0.10000000000000031</v>
      </c>
      <c r="BB130" s="484">
        <f t="shared" ref="BB130" si="211">IFERROR(BB129/AX129-1,"n/a")</f>
        <v>9.9999999999999867E-2</v>
      </c>
      <c r="BD130" s="500" t="s">
        <v>56</v>
      </c>
      <c r="BE130" s="501">
        <f>BF130</f>
        <v>0.10000000000000031</v>
      </c>
      <c r="BF130" s="501">
        <f>BF129/BE129-1</f>
        <v>0.10000000000000031</v>
      </c>
      <c r="BG130" s="501">
        <f t="shared" ref="BG130:BN130" si="212">BG129/BF129-1</f>
        <v>9.9999999999999867E-2</v>
      </c>
      <c r="BH130" s="501">
        <f t="shared" si="212"/>
        <v>0.10000000000000009</v>
      </c>
      <c r="BI130" s="501">
        <f t="shared" si="212"/>
        <v>0.10000000000000009</v>
      </c>
      <c r="BJ130" s="501">
        <f t="shared" si="212"/>
        <v>9.9999999999999867E-2</v>
      </c>
      <c r="BK130" s="501">
        <f t="shared" si="212"/>
        <v>0.10000000000000031</v>
      </c>
      <c r="BL130" s="501">
        <f t="shared" si="212"/>
        <v>0.32758620689655205</v>
      </c>
      <c r="BM130" s="501">
        <f>BM129/BL129-1</f>
        <v>0.10000000000000009</v>
      </c>
      <c r="BN130" s="501">
        <f t="shared" si="212"/>
        <v>0.10000000000000009</v>
      </c>
    </row>
    <row r="131" spans="1:66" s="118" customFormat="1" ht="15.6">
      <c r="B131" s="75" t="s">
        <v>164</v>
      </c>
      <c r="C131" s="76"/>
      <c r="D131" s="76"/>
      <c r="E131" s="153"/>
      <c r="F131" s="167"/>
      <c r="G131" s="183">
        <f>G129/G122/3</f>
        <v>6.0474357965115237E-2</v>
      </c>
      <c r="H131" s="484">
        <f>H129/H122/3</f>
        <v>5.3354070742471539E-2</v>
      </c>
      <c r="I131" s="484">
        <f>I129/I122/3</f>
        <v>5.7999999999999996E-2</v>
      </c>
      <c r="J131" s="484">
        <f t="shared" ref="J131:AT131" si="213">J129/J122/3</f>
        <v>5.7999999999999996E-2</v>
      </c>
      <c r="K131" s="484">
        <f t="shared" si="213"/>
        <v>5.7999999999999989E-2</v>
      </c>
      <c r="L131" s="484">
        <f t="shared" si="213"/>
        <v>5.7999999999999996E-2</v>
      </c>
      <c r="M131" s="484">
        <f t="shared" si="213"/>
        <v>5.8000000000000003E-2</v>
      </c>
      <c r="N131" s="484">
        <f t="shared" si="213"/>
        <v>5.8000000000000003E-2</v>
      </c>
      <c r="O131" s="484">
        <f t="shared" si="213"/>
        <v>5.8000000000000003E-2</v>
      </c>
      <c r="P131" s="484">
        <f t="shared" si="213"/>
        <v>5.7999999999999996E-2</v>
      </c>
      <c r="Q131" s="484">
        <f t="shared" si="213"/>
        <v>5.7999999999999996E-2</v>
      </c>
      <c r="R131" s="484">
        <f t="shared" si="213"/>
        <v>5.7999999999999996E-2</v>
      </c>
      <c r="S131" s="484">
        <f t="shared" si="213"/>
        <v>5.7999999999999996E-2</v>
      </c>
      <c r="T131" s="484">
        <f t="shared" si="213"/>
        <v>5.7999999999999996E-2</v>
      </c>
      <c r="U131" s="484">
        <f t="shared" si="213"/>
        <v>5.7999999999999996E-2</v>
      </c>
      <c r="V131" s="484">
        <f t="shared" si="213"/>
        <v>5.7999999999999989E-2</v>
      </c>
      <c r="W131" s="484">
        <f t="shared" si="213"/>
        <v>5.7999999999999996E-2</v>
      </c>
      <c r="X131" s="484">
        <f t="shared" si="213"/>
        <v>5.7999999999999989E-2</v>
      </c>
      <c r="Y131" s="484">
        <f t="shared" si="213"/>
        <v>5.7999999999999996E-2</v>
      </c>
      <c r="Z131" s="484">
        <f t="shared" si="213"/>
        <v>5.7999999999999989E-2</v>
      </c>
      <c r="AA131" s="484">
        <f t="shared" si="213"/>
        <v>5.7999999999999996E-2</v>
      </c>
      <c r="AB131" s="484">
        <f t="shared" si="213"/>
        <v>5.8000000000000003E-2</v>
      </c>
      <c r="AC131" s="484">
        <f t="shared" si="213"/>
        <v>5.8000000000000003E-2</v>
      </c>
      <c r="AD131" s="484">
        <f t="shared" si="213"/>
        <v>5.7999999999999989E-2</v>
      </c>
      <c r="AE131" s="484">
        <f t="shared" si="213"/>
        <v>5.8000000000000003E-2</v>
      </c>
      <c r="AF131" s="484">
        <f t="shared" si="213"/>
        <v>5.7999999999999996E-2</v>
      </c>
      <c r="AG131" s="484">
        <f t="shared" si="213"/>
        <v>5.7999999999999996E-2</v>
      </c>
      <c r="AH131" s="484">
        <f t="shared" si="213"/>
        <v>5.7999999999999996E-2</v>
      </c>
      <c r="AI131" s="484">
        <f t="shared" si="213"/>
        <v>5.7999999999999996E-2</v>
      </c>
      <c r="AJ131" s="484">
        <f t="shared" si="213"/>
        <v>5.7999999999999989E-2</v>
      </c>
      <c r="AK131" s="484">
        <f t="shared" si="213"/>
        <v>5.7999999999999996E-2</v>
      </c>
      <c r="AL131" s="484">
        <f t="shared" si="213"/>
        <v>7.0000000000000007E-2</v>
      </c>
      <c r="AM131" s="484">
        <f t="shared" si="213"/>
        <v>7.0000000000000021E-2</v>
      </c>
      <c r="AN131" s="484">
        <f t="shared" si="213"/>
        <v>7.0000000000000007E-2</v>
      </c>
      <c r="AO131" s="484">
        <f t="shared" si="213"/>
        <v>7.0000000000000007E-2</v>
      </c>
      <c r="AP131" s="484">
        <f t="shared" si="213"/>
        <v>7.0000000000000007E-2</v>
      </c>
      <c r="AQ131" s="484">
        <f t="shared" si="213"/>
        <v>7.0000000000000007E-2</v>
      </c>
      <c r="AR131" s="484">
        <f t="shared" si="213"/>
        <v>6.9999999999999993E-2</v>
      </c>
      <c r="AS131" s="484">
        <f t="shared" si="213"/>
        <v>7.0000000000000007E-2</v>
      </c>
      <c r="AT131" s="484">
        <f t="shared" si="213"/>
        <v>6.9999999999999993E-2</v>
      </c>
      <c r="AU131" s="484">
        <f t="shared" ref="AU131:BB131" si="214">AU129/AU122/3</f>
        <v>7.0000000000000007E-2</v>
      </c>
      <c r="AV131" s="484">
        <f t="shared" si="214"/>
        <v>7.0000000000000021E-2</v>
      </c>
      <c r="AW131" s="484">
        <f t="shared" si="214"/>
        <v>7.0000000000000007E-2</v>
      </c>
      <c r="AX131" s="484">
        <f t="shared" si="214"/>
        <v>7.0000000000000021E-2</v>
      </c>
      <c r="AY131" s="484">
        <f t="shared" si="214"/>
        <v>7.0000000000000007E-2</v>
      </c>
      <c r="AZ131" s="484">
        <f t="shared" si="214"/>
        <v>7.0000000000000021E-2</v>
      </c>
      <c r="BA131" s="484">
        <f t="shared" si="214"/>
        <v>7.0000000000000021E-2</v>
      </c>
      <c r="BB131" s="484">
        <f t="shared" si="214"/>
        <v>7.0000000000000007E-2</v>
      </c>
      <c r="BD131" s="500" t="s">
        <v>164</v>
      </c>
      <c r="BE131" s="501">
        <f>BE125</f>
        <v>5.7999999999999996E-2</v>
      </c>
      <c r="BF131" s="501">
        <f t="shared" ref="BF131:BN131" si="215">BF125</f>
        <v>5.7999999999999996E-2</v>
      </c>
      <c r="BG131" s="501">
        <f t="shared" si="215"/>
        <v>5.7999999999999996E-2</v>
      </c>
      <c r="BH131" s="501">
        <f t="shared" si="215"/>
        <v>5.7999999999999996E-2</v>
      </c>
      <c r="BI131" s="501">
        <f t="shared" si="215"/>
        <v>5.7999999999999996E-2</v>
      </c>
      <c r="BJ131" s="501">
        <f t="shared" si="215"/>
        <v>5.7999999999999996E-2</v>
      </c>
      <c r="BK131" s="501">
        <f t="shared" si="215"/>
        <v>5.7999999999999996E-2</v>
      </c>
      <c r="BL131" s="501">
        <f t="shared" si="215"/>
        <v>7.0000000000000007E-2</v>
      </c>
      <c r="BM131" s="501">
        <f>BM125</f>
        <v>7.0000000000000007E-2</v>
      </c>
      <c r="BN131" s="501">
        <f t="shared" si="215"/>
        <v>7.0000000000000007E-2</v>
      </c>
    </row>
    <row r="132" spans="1:66" s="88" customFormat="1" ht="5.4" hidden="1" customHeight="1" outlineLevel="1">
      <c r="A132" s="5"/>
      <c r="B132" s="73"/>
      <c r="D132" s="74"/>
      <c r="E132" s="154"/>
      <c r="F132" s="170"/>
      <c r="G132" s="170"/>
      <c r="H132" s="484"/>
      <c r="I132" s="484"/>
      <c r="J132" s="484"/>
      <c r="K132" s="484"/>
      <c r="L132" s="484"/>
      <c r="M132" s="484"/>
      <c r="N132" s="484"/>
      <c r="O132" s="484"/>
      <c r="P132" s="484"/>
      <c r="Q132" s="484"/>
      <c r="R132" s="484"/>
      <c r="S132" s="484"/>
      <c r="T132" s="484"/>
      <c r="U132" s="484"/>
      <c r="V132" s="484"/>
      <c r="W132" s="484"/>
      <c r="X132" s="484"/>
      <c r="Y132" s="484"/>
      <c r="Z132" s="484"/>
      <c r="AA132" s="484"/>
      <c r="AB132" s="484"/>
      <c r="AC132" s="484"/>
      <c r="AD132" s="484"/>
      <c r="AE132" s="484"/>
      <c r="AF132" s="484"/>
      <c r="AG132" s="484"/>
      <c r="AH132" s="484"/>
      <c r="AI132" s="484"/>
      <c r="AJ132" s="484"/>
      <c r="AK132" s="484"/>
      <c r="AL132" s="484"/>
      <c r="AM132" s="484"/>
      <c r="AN132" s="484"/>
      <c r="AO132" s="484"/>
      <c r="AP132" s="484"/>
      <c r="AQ132" s="484"/>
      <c r="AR132" s="484"/>
      <c r="AS132" s="484"/>
      <c r="AT132" s="484"/>
      <c r="AU132" s="484"/>
      <c r="AV132" s="484"/>
      <c r="AW132" s="484"/>
      <c r="AX132" s="484"/>
      <c r="AY132" s="484"/>
      <c r="AZ132" s="484"/>
      <c r="BA132" s="484"/>
      <c r="BB132" s="484"/>
      <c r="BD132" s="500">
        <v>0</v>
      </c>
      <c r="BE132" s="501"/>
      <c r="BF132" s="501"/>
      <c r="BG132" s="501"/>
      <c r="BH132" s="501"/>
      <c r="BI132" s="501"/>
      <c r="BJ132" s="501"/>
      <c r="BK132" s="501"/>
      <c r="BL132" s="501"/>
      <c r="BM132" s="501"/>
      <c r="BN132" s="501"/>
    </row>
    <row r="133" spans="1:66" ht="15.6" hidden="1" outlineLevel="2">
      <c r="B133" s="112" t="s">
        <v>20</v>
      </c>
      <c r="C133" s="76"/>
      <c r="D133" s="76"/>
      <c r="E133" s="104">
        <f>$C$13</f>
        <v>95517768.730000004</v>
      </c>
      <c r="F133" s="169">
        <f>E133</f>
        <v>95517768.730000004</v>
      </c>
      <c r="G133" s="169">
        <f>E133</f>
        <v>95517768.730000004</v>
      </c>
      <c r="H133" s="487">
        <f>G133</f>
        <v>95517768.730000004</v>
      </c>
      <c r="I133" s="487">
        <f t="shared" ref="I133:I134" si="216">H133</f>
        <v>95517768.730000004</v>
      </c>
      <c r="J133" s="487">
        <f t="shared" ref="J133:J134" si="217">I133</f>
        <v>95517768.730000004</v>
      </c>
      <c r="K133" s="487">
        <f t="shared" ref="K133:K134" si="218">J133</f>
        <v>95517768.730000004</v>
      </c>
      <c r="L133" s="487">
        <f t="shared" ref="L133:L134" si="219">K133</f>
        <v>95517768.730000004</v>
      </c>
      <c r="M133" s="487">
        <f>I133*1.05</f>
        <v>100293657.1665</v>
      </c>
      <c r="N133" s="487">
        <f t="shared" ref="N133:AU134" si="220">J133*1.05</f>
        <v>100293657.1665</v>
      </c>
      <c r="O133" s="487">
        <f t="shared" si="220"/>
        <v>100293657.1665</v>
      </c>
      <c r="P133" s="487">
        <f t="shared" si="220"/>
        <v>100293657.1665</v>
      </c>
      <c r="Q133" s="487">
        <f t="shared" si="220"/>
        <v>105308340.02482501</v>
      </c>
      <c r="R133" s="487">
        <f t="shared" si="220"/>
        <v>105308340.02482501</v>
      </c>
      <c r="S133" s="487">
        <f t="shared" si="220"/>
        <v>105308340.02482501</v>
      </c>
      <c r="T133" s="487">
        <f t="shared" si="220"/>
        <v>105308340.02482501</v>
      </c>
      <c r="U133" s="487">
        <f t="shared" si="220"/>
        <v>110573757.02606626</v>
      </c>
      <c r="V133" s="487">
        <f t="shared" si="220"/>
        <v>110573757.02606626</v>
      </c>
      <c r="W133" s="487">
        <f t="shared" si="220"/>
        <v>110573757.02606626</v>
      </c>
      <c r="X133" s="487">
        <f t="shared" si="220"/>
        <v>110573757.02606626</v>
      </c>
      <c r="Y133" s="487">
        <f t="shared" si="220"/>
        <v>116102444.87736958</v>
      </c>
      <c r="Z133" s="487">
        <f t="shared" si="220"/>
        <v>116102444.87736958</v>
      </c>
      <c r="AA133" s="487">
        <f t="shared" si="220"/>
        <v>116102444.87736958</v>
      </c>
      <c r="AB133" s="487">
        <f t="shared" si="220"/>
        <v>116102444.87736958</v>
      </c>
      <c r="AC133" s="487">
        <f t="shared" si="220"/>
        <v>121907567.12123807</v>
      </c>
      <c r="AD133" s="487">
        <f t="shared" si="220"/>
        <v>121907567.12123807</v>
      </c>
      <c r="AE133" s="487">
        <f t="shared" si="220"/>
        <v>121907567.12123807</v>
      </c>
      <c r="AF133" s="487">
        <f t="shared" si="220"/>
        <v>121907567.12123807</v>
      </c>
      <c r="AG133" s="487">
        <f t="shared" si="220"/>
        <v>128002945.47729997</v>
      </c>
      <c r="AH133" s="487">
        <f t="shared" si="220"/>
        <v>128002945.47729997</v>
      </c>
      <c r="AI133" s="487">
        <f t="shared" si="220"/>
        <v>128002945.47729997</v>
      </c>
      <c r="AJ133" s="487">
        <f t="shared" si="220"/>
        <v>128002945.47729997</v>
      </c>
      <c r="AK133" s="487">
        <f t="shared" si="220"/>
        <v>134403092.75116497</v>
      </c>
      <c r="AL133" s="487">
        <f t="shared" si="220"/>
        <v>134403092.75116497</v>
      </c>
      <c r="AM133" s="487">
        <f t="shared" si="220"/>
        <v>134403092.75116497</v>
      </c>
      <c r="AN133" s="487">
        <f t="shared" si="220"/>
        <v>134403092.75116497</v>
      </c>
      <c r="AO133" s="487">
        <f t="shared" si="220"/>
        <v>141123247.38872322</v>
      </c>
      <c r="AP133" s="487">
        <f t="shared" si="220"/>
        <v>141123247.38872322</v>
      </c>
      <c r="AQ133" s="487">
        <f t="shared" si="220"/>
        <v>141123247.38872322</v>
      </c>
      <c r="AR133" s="487">
        <f t="shared" si="220"/>
        <v>141123247.38872322</v>
      </c>
      <c r="AS133" s="487">
        <f t="shared" si="220"/>
        <v>148179409.7581594</v>
      </c>
      <c r="AT133" s="487">
        <f t="shared" si="220"/>
        <v>148179409.7581594</v>
      </c>
      <c r="AU133" s="487">
        <f t="shared" si="220"/>
        <v>148179409.7581594</v>
      </c>
      <c r="AV133" s="487">
        <f t="shared" ref="AV133:AV134" si="221">AR133*1.05</f>
        <v>148179409.7581594</v>
      </c>
      <c r="AW133" s="487">
        <f t="shared" ref="AW133:AW134" si="222">AS133*1.05</f>
        <v>155588380.24606737</v>
      </c>
      <c r="AX133" s="487">
        <f t="shared" ref="AX133:AX134" si="223">AT133*1.05</f>
        <v>155588380.24606737</v>
      </c>
      <c r="AY133" s="487">
        <f t="shared" ref="AY133:AY134" si="224">AU133*1.05</f>
        <v>155588380.24606737</v>
      </c>
      <c r="AZ133" s="487">
        <f t="shared" ref="AZ133:AZ134" si="225">AV133*1.05</f>
        <v>155588380.24606737</v>
      </c>
      <c r="BA133" s="487">
        <f t="shared" ref="BA133:BA134" si="226">AW133*1.05</f>
        <v>163367799.25837076</v>
      </c>
      <c r="BB133" s="487">
        <f t="shared" ref="BB133:BB134" si="227">AX133*1.05</f>
        <v>163367799.25837076</v>
      </c>
      <c r="BD133" s="504" t="s">
        <v>20</v>
      </c>
      <c r="BE133" s="505"/>
      <c r="BF133" s="505"/>
      <c r="BG133" s="505"/>
      <c r="BH133" s="505"/>
      <c r="BI133" s="505"/>
      <c r="BJ133" s="505"/>
      <c r="BK133" s="505"/>
      <c r="BL133" s="505"/>
      <c r="BM133" s="505"/>
      <c r="BN133" s="505"/>
    </row>
    <row r="134" spans="1:66" ht="15.6" hidden="1" outlineLevel="2">
      <c r="B134" s="112" t="s">
        <v>101</v>
      </c>
      <c r="C134" s="76"/>
      <c r="D134" s="76"/>
      <c r="E134" s="104">
        <f>$C$15</f>
        <v>19219282.300000001</v>
      </c>
      <c r="F134" s="169">
        <f>E134</f>
        <v>19219282.300000001</v>
      </c>
      <c r="G134" s="169">
        <f>E134</f>
        <v>19219282.300000001</v>
      </c>
      <c r="H134" s="487">
        <f>G134</f>
        <v>19219282.300000001</v>
      </c>
      <c r="I134" s="487">
        <f t="shared" si="216"/>
        <v>19219282.300000001</v>
      </c>
      <c r="J134" s="487">
        <f t="shared" si="217"/>
        <v>19219282.300000001</v>
      </c>
      <c r="K134" s="487">
        <f t="shared" si="218"/>
        <v>19219282.300000001</v>
      </c>
      <c r="L134" s="487">
        <f t="shared" si="219"/>
        <v>19219282.300000001</v>
      </c>
      <c r="M134" s="487">
        <f>I134*1.05</f>
        <v>20180246.415000003</v>
      </c>
      <c r="N134" s="487">
        <f t="shared" si="220"/>
        <v>20180246.415000003</v>
      </c>
      <c r="O134" s="487">
        <f t="shared" si="220"/>
        <v>20180246.415000003</v>
      </c>
      <c r="P134" s="487">
        <f t="shared" si="220"/>
        <v>20180246.415000003</v>
      </c>
      <c r="Q134" s="487">
        <f t="shared" si="220"/>
        <v>21189258.735750005</v>
      </c>
      <c r="R134" s="487">
        <f t="shared" si="220"/>
        <v>21189258.735750005</v>
      </c>
      <c r="S134" s="487">
        <f t="shared" si="220"/>
        <v>21189258.735750005</v>
      </c>
      <c r="T134" s="487">
        <f t="shared" si="220"/>
        <v>21189258.735750005</v>
      </c>
      <c r="U134" s="487">
        <f t="shared" si="220"/>
        <v>22248721.672537506</v>
      </c>
      <c r="V134" s="487">
        <f t="shared" si="220"/>
        <v>22248721.672537506</v>
      </c>
      <c r="W134" s="487">
        <f t="shared" si="220"/>
        <v>22248721.672537506</v>
      </c>
      <c r="X134" s="487">
        <f t="shared" si="220"/>
        <v>22248721.672537506</v>
      </c>
      <c r="Y134" s="487">
        <f t="shared" si="220"/>
        <v>23361157.756164383</v>
      </c>
      <c r="Z134" s="487">
        <f t="shared" si="220"/>
        <v>23361157.756164383</v>
      </c>
      <c r="AA134" s="487">
        <f t="shared" si="220"/>
        <v>23361157.756164383</v>
      </c>
      <c r="AB134" s="487">
        <f t="shared" si="220"/>
        <v>23361157.756164383</v>
      </c>
      <c r="AC134" s="487">
        <f t="shared" si="220"/>
        <v>24529215.643972602</v>
      </c>
      <c r="AD134" s="487">
        <f t="shared" si="220"/>
        <v>24529215.643972602</v>
      </c>
      <c r="AE134" s="487">
        <f t="shared" si="220"/>
        <v>24529215.643972602</v>
      </c>
      <c r="AF134" s="487">
        <f t="shared" si="220"/>
        <v>24529215.643972602</v>
      </c>
      <c r="AG134" s="487">
        <f t="shared" si="220"/>
        <v>25755676.426171232</v>
      </c>
      <c r="AH134" s="487">
        <f t="shared" si="220"/>
        <v>25755676.426171232</v>
      </c>
      <c r="AI134" s="487">
        <f t="shared" si="220"/>
        <v>25755676.426171232</v>
      </c>
      <c r="AJ134" s="487">
        <f t="shared" si="220"/>
        <v>25755676.426171232</v>
      </c>
      <c r="AK134" s="487">
        <f t="shared" si="220"/>
        <v>27043460.247479796</v>
      </c>
      <c r="AL134" s="487">
        <f t="shared" si="220"/>
        <v>27043460.247479796</v>
      </c>
      <c r="AM134" s="487">
        <f t="shared" si="220"/>
        <v>27043460.247479796</v>
      </c>
      <c r="AN134" s="487">
        <f t="shared" si="220"/>
        <v>27043460.247479796</v>
      </c>
      <c r="AO134" s="487">
        <f t="shared" si="220"/>
        <v>28395633.259853788</v>
      </c>
      <c r="AP134" s="487">
        <f t="shared" si="220"/>
        <v>28395633.259853788</v>
      </c>
      <c r="AQ134" s="487">
        <f t="shared" si="220"/>
        <v>28395633.259853788</v>
      </c>
      <c r="AR134" s="487">
        <f t="shared" si="220"/>
        <v>28395633.259853788</v>
      </c>
      <c r="AS134" s="487">
        <f t="shared" si="220"/>
        <v>29815414.922846477</v>
      </c>
      <c r="AT134" s="487">
        <f t="shared" si="220"/>
        <v>29815414.922846477</v>
      </c>
      <c r="AU134" s="487">
        <f t="shared" si="220"/>
        <v>29815414.922846477</v>
      </c>
      <c r="AV134" s="487">
        <f t="shared" si="221"/>
        <v>29815414.922846477</v>
      </c>
      <c r="AW134" s="487">
        <f t="shared" si="222"/>
        <v>31306185.668988802</v>
      </c>
      <c r="AX134" s="487">
        <f t="shared" si="223"/>
        <v>31306185.668988802</v>
      </c>
      <c r="AY134" s="487">
        <f t="shared" si="224"/>
        <v>31306185.668988802</v>
      </c>
      <c r="AZ134" s="487">
        <f t="shared" si="225"/>
        <v>31306185.668988802</v>
      </c>
      <c r="BA134" s="487">
        <f t="shared" si="226"/>
        <v>32871494.952438243</v>
      </c>
      <c r="BB134" s="487">
        <f t="shared" si="227"/>
        <v>32871494.952438243</v>
      </c>
      <c r="BD134" s="504" t="s">
        <v>101</v>
      </c>
      <c r="BE134" s="505"/>
      <c r="BF134" s="505"/>
      <c r="BG134" s="505"/>
      <c r="BH134" s="505"/>
      <c r="BI134" s="505"/>
      <c r="BJ134" s="505"/>
      <c r="BK134" s="505"/>
      <c r="BL134" s="505"/>
      <c r="BM134" s="505"/>
      <c r="BN134" s="505"/>
    </row>
    <row r="135" spans="1:66" s="88" customFormat="1" ht="15.6" collapsed="1">
      <c r="A135" s="5"/>
      <c r="B135" s="73"/>
      <c r="D135" s="74"/>
      <c r="E135" s="154"/>
      <c r="F135" s="170"/>
      <c r="G135" s="170"/>
      <c r="H135" s="484"/>
      <c r="I135" s="484"/>
      <c r="J135" s="484"/>
      <c r="K135" s="484"/>
      <c r="L135" s="484"/>
      <c r="M135" s="484"/>
      <c r="N135" s="484"/>
      <c r="O135" s="484"/>
      <c r="P135" s="484"/>
      <c r="Q135" s="484"/>
      <c r="R135" s="484"/>
      <c r="S135" s="484"/>
      <c r="T135" s="484"/>
      <c r="U135" s="484"/>
      <c r="V135" s="484"/>
      <c r="W135" s="484"/>
      <c r="X135" s="484"/>
      <c r="Y135" s="484"/>
      <c r="Z135" s="484"/>
      <c r="AA135" s="484"/>
      <c r="AB135" s="484"/>
      <c r="AC135" s="484"/>
      <c r="AD135" s="484"/>
      <c r="AE135" s="484"/>
      <c r="AF135" s="484"/>
      <c r="AG135" s="484"/>
      <c r="AH135" s="484"/>
      <c r="AI135" s="484"/>
      <c r="AJ135" s="484"/>
      <c r="AK135" s="484"/>
      <c r="AL135" s="484"/>
      <c r="AM135" s="484"/>
      <c r="AN135" s="484"/>
      <c r="AO135" s="484"/>
      <c r="AP135" s="484"/>
      <c r="AQ135" s="484"/>
      <c r="AR135" s="484"/>
      <c r="AS135" s="484"/>
      <c r="AT135" s="484"/>
      <c r="AU135" s="484"/>
      <c r="AV135" s="484"/>
      <c r="AW135" s="484"/>
      <c r="AX135" s="484"/>
      <c r="AY135" s="484"/>
      <c r="AZ135" s="484"/>
      <c r="BA135" s="484"/>
      <c r="BB135" s="484"/>
      <c r="BD135" s="500"/>
      <c r="BE135" s="501"/>
      <c r="BF135" s="501"/>
      <c r="BG135" s="501"/>
      <c r="BH135" s="501"/>
      <c r="BI135" s="501"/>
      <c r="BJ135" s="501"/>
      <c r="BK135" s="501"/>
      <c r="BL135" s="501"/>
      <c r="BM135" s="501"/>
      <c r="BN135" s="501"/>
    </row>
    <row r="136" spans="1:66" s="88" customFormat="1" ht="15.6">
      <c r="A136" s="5"/>
      <c r="B136" s="65" t="s">
        <v>222</v>
      </c>
      <c r="D136" s="74"/>
      <c r="E136" s="154"/>
      <c r="F136" s="171">
        <v>0</v>
      </c>
      <c r="G136" s="171">
        <f>SUM('Отчетность АО9 2024'!I4:K4)</f>
        <v>-1183811.52</v>
      </c>
      <c r="H136" s="79">
        <f>G136</f>
        <v>-1183811.52</v>
      </c>
      <c r="I136" s="79">
        <f>H136</f>
        <v>-1183811.52</v>
      </c>
      <c r="J136" s="79">
        <f>I136</f>
        <v>-1183811.52</v>
      </c>
      <c r="K136" s="79">
        <f t="shared" ref="K136:AU136" si="228">J136</f>
        <v>-1183811.52</v>
      </c>
      <c r="L136" s="79">
        <f t="shared" si="228"/>
        <v>-1183811.52</v>
      </c>
      <c r="M136" s="79">
        <f t="shared" si="228"/>
        <v>-1183811.52</v>
      </c>
      <c r="N136" s="79">
        <f t="shared" si="228"/>
        <v>-1183811.52</v>
      </c>
      <c r="O136" s="79">
        <f t="shared" si="228"/>
        <v>-1183811.52</v>
      </c>
      <c r="P136" s="79">
        <f t="shared" si="228"/>
        <v>-1183811.52</v>
      </c>
      <c r="Q136" s="79">
        <f t="shared" si="228"/>
        <v>-1183811.52</v>
      </c>
      <c r="R136" s="79">
        <f t="shared" si="228"/>
        <v>-1183811.52</v>
      </c>
      <c r="S136" s="79">
        <f t="shared" si="228"/>
        <v>-1183811.52</v>
      </c>
      <c r="T136" s="79">
        <f t="shared" si="228"/>
        <v>-1183811.52</v>
      </c>
      <c r="U136" s="79">
        <f t="shared" si="228"/>
        <v>-1183811.52</v>
      </c>
      <c r="V136" s="79">
        <f t="shared" si="228"/>
        <v>-1183811.52</v>
      </c>
      <c r="W136" s="79">
        <f t="shared" si="228"/>
        <v>-1183811.52</v>
      </c>
      <c r="X136" s="79">
        <f t="shared" si="228"/>
        <v>-1183811.52</v>
      </c>
      <c r="Y136" s="79">
        <f t="shared" si="228"/>
        <v>-1183811.52</v>
      </c>
      <c r="Z136" s="79">
        <f t="shared" si="228"/>
        <v>-1183811.52</v>
      </c>
      <c r="AA136" s="79">
        <f t="shared" si="228"/>
        <v>-1183811.52</v>
      </c>
      <c r="AB136" s="79">
        <f t="shared" si="228"/>
        <v>-1183811.52</v>
      </c>
      <c r="AC136" s="79">
        <f t="shared" si="228"/>
        <v>-1183811.52</v>
      </c>
      <c r="AD136" s="79">
        <f t="shared" si="228"/>
        <v>-1183811.52</v>
      </c>
      <c r="AE136" s="79">
        <f t="shared" si="228"/>
        <v>-1183811.52</v>
      </c>
      <c r="AF136" s="79">
        <f t="shared" si="228"/>
        <v>-1183811.52</v>
      </c>
      <c r="AG136" s="79">
        <f t="shared" si="228"/>
        <v>-1183811.52</v>
      </c>
      <c r="AH136" s="79">
        <f t="shared" si="228"/>
        <v>-1183811.52</v>
      </c>
      <c r="AI136" s="79">
        <f t="shared" si="228"/>
        <v>-1183811.52</v>
      </c>
      <c r="AJ136" s="79">
        <f t="shared" si="228"/>
        <v>-1183811.52</v>
      </c>
      <c r="AK136" s="79">
        <f t="shared" si="228"/>
        <v>-1183811.52</v>
      </c>
      <c r="AL136" s="79">
        <f t="shared" si="228"/>
        <v>-1183811.52</v>
      </c>
      <c r="AM136" s="79">
        <f t="shared" si="228"/>
        <v>-1183811.52</v>
      </c>
      <c r="AN136" s="79">
        <f t="shared" si="228"/>
        <v>-1183811.52</v>
      </c>
      <c r="AO136" s="79">
        <f t="shared" si="228"/>
        <v>-1183811.52</v>
      </c>
      <c r="AP136" s="79">
        <f t="shared" si="228"/>
        <v>-1183811.52</v>
      </c>
      <c r="AQ136" s="79">
        <f t="shared" si="228"/>
        <v>-1183811.52</v>
      </c>
      <c r="AR136" s="79">
        <f t="shared" si="228"/>
        <v>-1183811.52</v>
      </c>
      <c r="AS136" s="79">
        <f t="shared" si="228"/>
        <v>-1183811.52</v>
      </c>
      <c r="AT136" s="79">
        <f t="shared" si="228"/>
        <v>-1183811.52</v>
      </c>
      <c r="AU136" s="79">
        <f t="shared" si="228"/>
        <v>-1183811.52</v>
      </c>
      <c r="AV136" s="79">
        <f t="shared" ref="AV136" si="229">AU136</f>
        <v>-1183811.52</v>
      </c>
      <c r="AW136" s="79">
        <f t="shared" ref="AW136" si="230">AV136</f>
        <v>-1183811.52</v>
      </c>
      <c r="AX136" s="79">
        <f t="shared" ref="AX136" si="231">AW136</f>
        <v>-1183811.52</v>
      </c>
      <c r="AY136" s="79">
        <f t="shared" ref="AY136" si="232">AX136</f>
        <v>-1183811.52</v>
      </c>
      <c r="AZ136" s="79">
        <f t="shared" ref="AZ136" si="233">AY136</f>
        <v>-1183811.52</v>
      </c>
      <c r="BA136" s="79">
        <f t="shared" ref="BA136" si="234">AZ136</f>
        <v>-1183811.52</v>
      </c>
      <c r="BB136" s="79">
        <f t="shared" ref="BB136" si="235">BA136</f>
        <v>-1183811.52</v>
      </c>
      <c r="BD136" s="506" t="s">
        <v>222</v>
      </c>
      <c r="BE136" s="507">
        <f t="shared" ref="BE136:BN141" si="236">SUMIF($H$2:$BB$2,BE$2,$H136:$BB136)</f>
        <v>-4735246.08</v>
      </c>
      <c r="BF136" s="507">
        <f t="shared" si="236"/>
        <v>-4735246.08</v>
      </c>
      <c r="BG136" s="507">
        <f t="shared" si="236"/>
        <v>-4735246.08</v>
      </c>
      <c r="BH136" s="507">
        <f t="shared" si="236"/>
        <v>-4735246.08</v>
      </c>
      <c r="BI136" s="507">
        <f t="shared" si="236"/>
        <v>-4735246.08</v>
      </c>
      <c r="BJ136" s="507">
        <f t="shared" si="236"/>
        <v>-4735246.08</v>
      </c>
      <c r="BK136" s="507">
        <f t="shared" si="236"/>
        <v>-4735246.08</v>
      </c>
      <c r="BL136" s="507">
        <f t="shared" si="236"/>
        <v>-4735246.08</v>
      </c>
      <c r="BM136" s="507">
        <f>SUMIF($H$2:$BB$2,BM$2,$H136:$BB136)</f>
        <v>-4735246.08</v>
      </c>
      <c r="BN136" s="507">
        <f t="shared" si="236"/>
        <v>-4735246.08</v>
      </c>
    </row>
    <row r="137" spans="1:66" s="88" customFormat="1" ht="15.6">
      <c r="A137" s="5"/>
      <c r="B137" s="65" t="s">
        <v>223</v>
      </c>
      <c r="D137" s="74"/>
      <c r="E137" s="154"/>
      <c r="F137" s="171">
        <v>0</v>
      </c>
      <c r="G137" s="171">
        <v>0</v>
      </c>
      <c r="H137" s="79">
        <f>-G136*2</f>
        <v>2367623.04</v>
      </c>
      <c r="I137" s="79">
        <f>-I136</f>
        <v>1183811.52</v>
      </c>
      <c r="J137" s="79">
        <f t="shared" ref="J137:AT137" si="237">-J136</f>
        <v>1183811.52</v>
      </c>
      <c r="K137" s="79">
        <f t="shared" si="237"/>
        <v>1183811.52</v>
      </c>
      <c r="L137" s="79">
        <f t="shared" si="237"/>
        <v>1183811.52</v>
      </c>
      <c r="M137" s="79">
        <f t="shared" si="237"/>
        <v>1183811.52</v>
      </c>
      <c r="N137" s="79">
        <f t="shared" si="237"/>
        <v>1183811.52</v>
      </c>
      <c r="O137" s="79">
        <f t="shared" si="237"/>
        <v>1183811.52</v>
      </c>
      <c r="P137" s="79">
        <f t="shared" si="237"/>
        <v>1183811.52</v>
      </c>
      <c r="Q137" s="79">
        <f t="shared" si="237"/>
        <v>1183811.52</v>
      </c>
      <c r="R137" s="79">
        <f t="shared" si="237"/>
        <v>1183811.52</v>
      </c>
      <c r="S137" s="79">
        <f t="shared" si="237"/>
        <v>1183811.52</v>
      </c>
      <c r="T137" s="79">
        <f t="shared" si="237"/>
        <v>1183811.52</v>
      </c>
      <c r="U137" s="79">
        <f t="shared" si="237"/>
        <v>1183811.52</v>
      </c>
      <c r="V137" s="79">
        <f t="shared" si="237"/>
        <v>1183811.52</v>
      </c>
      <c r="W137" s="79">
        <f t="shared" si="237"/>
        <v>1183811.52</v>
      </c>
      <c r="X137" s="79">
        <f t="shared" si="237"/>
        <v>1183811.52</v>
      </c>
      <c r="Y137" s="79">
        <f t="shared" si="237"/>
        <v>1183811.52</v>
      </c>
      <c r="Z137" s="79">
        <f t="shared" si="237"/>
        <v>1183811.52</v>
      </c>
      <c r="AA137" s="79">
        <f t="shared" si="237"/>
        <v>1183811.52</v>
      </c>
      <c r="AB137" s="79">
        <f t="shared" si="237"/>
        <v>1183811.52</v>
      </c>
      <c r="AC137" s="79">
        <f t="shared" si="237"/>
        <v>1183811.52</v>
      </c>
      <c r="AD137" s="79">
        <f t="shared" si="237"/>
        <v>1183811.52</v>
      </c>
      <c r="AE137" s="79">
        <f t="shared" si="237"/>
        <v>1183811.52</v>
      </c>
      <c r="AF137" s="79">
        <f t="shared" si="237"/>
        <v>1183811.52</v>
      </c>
      <c r="AG137" s="79">
        <f t="shared" si="237"/>
        <v>1183811.52</v>
      </c>
      <c r="AH137" s="79">
        <f t="shared" si="237"/>
        <v>1183811.52</v>
      </c>
      <c r="AI137" s="79">
        <f t="shared" si="237"/>
        <v>1183811.52</v>
      </c>
      <c r="AJ137" s="79">
        <f t="shared" si="237"/>
        <v>1183811.52</v>
      </c>
      <c r="AK137" s="79">
        <f t="shared" si="237"/>
        <v>1183811.52</v>
      </c>
      <c r="AL137" s="79">
        <f t="shared" si="237"/>
        <v>1183811.52</v>
      </c>
      <c r="AM137" s="79">
        <f t="shared" si="237"/>
        <v>1183811.52</v>
      </c>
      <c r="AN137" s="79">
        <f t="shared" si="237"/>
        <v>1183811.52</v>
      </c>
      <c r="AO137" s="79">
        <f t="shared" si="237"/>
        <v>1183811.52</v>
      </c>
      <c r="AP137" s="79">
        <f t="shared" si="237"/>
        <v>1183811.52</v>
      </c>
      <c r="AQ137" s="79">
        <f t="shared" si="237"/>
        <v>1183811.52</v>
      </c>
      <c r="AR137" s="79">
        <f t="shared" si="237"/>
        <v>1183811.52</v>
      </c>
      <c r="AS137" s="79">
        <f t="shared" si="237"/>
        <v>1183811.52</v>
      </c>
      <c r="AT137" s="79">
        <f t="shared" si="237"/>
        <v>1183811.52</v>
      </c>
      <c r="AU137" s="79">
        <f t="shared" ref="AU137:BB137" si="238">-AU136</f>
        <v>1183811.52</v>
      </c>
      <c r="AV137" s="79">
        <f t="shared" si="238"/>
        <v>1183811.52</v>
      </c>
      <c r="AW137" s="79">
        <f t="shared" si="238"/>
        <v>1183811.52</v>
      </c>
      <c r="AX137" s="79">
        <f t="shared" si="238"/>
        <v>1183811.52</v>
      </c>
      <c r="AY137" s="79">
        <f t="shared" si="238"/>
        <v>1183811.52</v>
      </c>
      <c r="AZ137" s="79">
        <f t="shared" si="238"/>
        <v>1183811.52</v>
      </c>
      <c r="BA137" s="79">
        <f t="shared" si="238"/>
        <v>1183811.52</v>
      </c>
      <c r="BB137" s="79">
        <f t="shared" si="238"/>
        <v>1183811.52</v>
      </c>
      <c r="BD137" s="506" t="s">
        <v>223</v>
      </c>
      <c r="BE137" s="507">
        <f t="shared" si="236"/>
        <v>4735246.08</v>
      </c>
      <c r="BF137" s="507">
        <f t="shared" si="236"/>
        <v>4735246.08</v>
      </c>
      <c r="BG137" s="507">
        <f t="shared" si="236"/>
        <v>4735246.08</v>
      </c>
      <c r="BH137" s="507">
        <f t="shared" si="236"/>
        <v>4735246.08</v>
      </c>
      <c r="BI137" s="507">
        <f t="shared" si="236"/>
        <v>4735246.08</v>
      </c>
      <c r="BJ137" s="507">
        <f t="shared" si="236"/>
        <v>4735246.08</v>
      </c>
      <c r="BK137" s="507">
        <f t="shared" si="236"/>
        <v>4735246.08</v>
      </c>
      <c r="BL137" s="507">
        <f t="shared" si="236"/>
        <v>4735246.08</v>
      </c>
      <c r="BM137" s="507">
        <f>SUMIF($H$2:$BB$2,BM$2,$H137:$BB137)</f>
        <v>4735246.08</v>
      </c>
      <c r="BN137" s="507">
        <f>SUMIF($H$2:$BB$2,BN$2,$H137:$BB137)</f>
        <v>4735246.08</v>
      </c>
    </row>
    <row r="138" spans="1:66">
      <c r="B138" s="65" t="s">
        <v>21</v>
      </c>
      <c r="C138" s="62"/>
      <c r="D138" s="62"/>
      <c r="E138" s="156"/>
      <c r="F138" s="171">
        <f>SUM('Отчетность АО9 2024'!F6:H6)</f>
        <v>0</v>
      </c>
      <c r="G138" s="171">
        <f>SUM('Отчетность АО9 2024'!I6:K6)</f>
        <v>0</v>
      </c>
      <c r="H138" s="79">
        <f>-$C$30*H133/4 * 2</f>
        <v>-955177.68730000011</v>
      </c>
      <c r="I138" s="79">
        <f t="shared" ref="I138:AT138" si="239">-$C$30*I133/4</f>
        <v>-477588.84365000005</v>
      </c>
      <c r="J138" s="79">
        <f t="shared" si="239"/>
        <v>-477588.84365000005</v>
      </c>
      <c r="K138" s="79">
        <f t="shared" si="239"/>
        <v>-477588.84365000005</v>
      </c>
      <c r="L138" s="79">
        <f t="shared" si="239"/>
        <v>-477588.84365000005</v>
      </c>
      <c r="M138" s="79">
        <f t="shared" si="239"/>
        <v>-501468.28583250003</v>
      </c>
      <c r="N138" s="79">
        <f t="shared" si="239"/>
        <v>-501468.28583250003</v>
      </c>
      <c r="O138" s="79">
        <f t="shared" si="239"/>
        <v>-501468.28583250003</v>
      </c>
      <c r="P138" s="79">
        <f t="shared" si="239"/>
        <v>-501468.28583250003</v>
      </c>
      <c r="Q138" s="79">
        <f t="shared" si="239"/>
        <v>-526541.700124125</v>
      </c>
      <c r="R138" s="79">
        <f t="shared" si="239"/>
        <v>-526541.700124125</v>
      </c>
      <c r="S138" s="79">
        <f t="shared" si="239"/>
        <v>-526541.700124125</v>
      </c>
      <c r="T138" s="79">
        <f t="shared" si="239"/>
        <v>-526541.700124125</v>
      </c>
      <c r="U138" s="79">
        <f t="shared" si="239"/>
        <v>-552868.78513033129</v>
      </c>
      <c r="V138" s="79">
        <f t="shared" si="239"/>
        <v>-552868.78513033129</v>
      </c>
      <c r="W138" s="79">
        <f t="shared" si="239"/>
        <v>-552868.78513033129</v>
      </c>
      <c r="X138" s="79">
        <f t="shared" si="239"/>
        <v>-552868.78513033129</v>
      </c>
      <c r="Y138" s="79">
        <f t="shared" si="239"/>
        <v>-580512.22438684793</v>
      </c>
      <c r="Z138" s="79">
        <f t="shared" si="239"/>
        <v>-580512.22438684793</v>
      </c>
      <c r="AA138" s="79">
        <f t="shared" si="239"/>
        <v>-580512.22438684793</v>
      </c>
      <c r="AB138" s="79">
        <f t="shared" si="239"/>
        <v>-580512.22438684793</v>
      </c>
      <c r="AC138" s="79">
        <f t="shared" si="239"/>
        <v>-609537.83560619038</v>
      </c>
      <c r="AD138" s="79">
        <f t="shared" si="239"/>
        <v>-609537.83560619038</v>
      </c>
      <c r="AE138" s="79">
        <f t="shared" si="239"/>
        <v>-609537.83560619038</v>
      </c>
      <c r="AF138" s="79">
        <f t="shared" si="239"/>
        <v>-609537.83560619038</v>
      </c>
      <c r="AG138" s="79">
        <f t="shared" si="239"/>
        <v>-640014.72738649987</v>
      </c>
      <c r="AH138" s="79">
        <f t="shared" si="239"/>
        <v>-640014.72738649987</v>
      </c>
      <c r="AI138" s="79">
        <f t="shared" si="239"/>
        <v>-640014.72738649987</v>
      </c>
      <c r="AJ138" s="79">
        <f t="shared" si="239"/>
        <v>-640014.72738649987</v>
      </c>
      <c r="AK138" s="79">
        <f t="shared" si="239"/>
        <v>-672015.46375582484</v>
      </c>
      <c r="AL138" s="79">
        <f t="shared" si="239"/>
        <v>-672015.46375582484</v>
      </c>
      <c r="AM138" s="79">
        <f t="shared" si="239"/>
        <v>-672015.46375582484</v>
      </c>
      <c r="AN138" s="79">
        <f t="shared" si="239"/>
        <v>-672015.46375582484</v>
      </c>
      <c r="AO138" s="79">
        <f t="shared" si="239"/>
        <v>-705616.23694361618</v>
      </c>
      <c r="AP138" s="79">
        <f t="shared" si="239"/>
        <v>-705616.23694361618</v>
      </c>
      <c r="AQ138" s="79">
        <f t="shared" si="239"/>
        <v>-705616.23694361618</v>
      </c>
      <c r="AR138" s="79">
        <f t="shared" si="239"/>
        <v>-705616.23694361618</v>
      </c>
      <c r="AS138" s="79">
        <f t="shared" si="239"/>
        <v>-740897.04879079701</v>
      </c>
      <c r="AT138" s="79">
        <f t="shared" si="239"/>
        <v>-740897.04879079701</v>
      </c>
      <c r="AU138" s="79">
        <f t="shared" ref="AU138:BB138" si="240">-$C$30*AU133/4</f>
        <v>-740897.04879079701</v>
      </c>
      <c r="AV138" s="79">
        <f t="shared" si="240"/>
        <v>-740897.04879079701</v>
      </c>
      <c r="AW138" s="79">
        <f t="shared" si="240"/>
        <v>-777941.90123033687</v>
      </c>
      <c r="AX138" s="79">
        <f t="shared" si="240"/>
        <v>-777941.90123033687</v>
      </c>
      <c r="AY138" s="79">
        <f t="shared" si="240"/>
        <v>-777941.90123033687</v>
      </c>
      <c r="AZ138" s="79">
        <f t="shared" si="240"/>
        <v>-777941.90123033687</v>
      </c>
      <c r="BA138" s="79">
        <f t="shared" si="240"/>
        <v>-816838.99629185384</v>
      </c>
      <c r="BB138" s="79">
        <f t="shared" si="240"/>
        <v>-816838.99629185384</v>
      </c>
      <c r="BD138" s="506" t="s">
        <v>21</v>
      </c>
      <c r="BE138" s="507">
        <f t="shared" si="236"/>
        <v>-1934234.8167825001</v>
      </c>
      <c r="BF138" s="507">
        <f>SUMIF($H$2:$BB$2,BF$2,$H138:$BB138)</f>
        <v>-2030946.557621625</v>
      </c>
      <c r="BG138" s="507">
        <f t="shared" si="236"/>
        <v>-2132493.8855027063</v>
      </c>
      <c r="BH138" s="507">
        <f t="shared" si="236"/>
        <v>-2239118.5797778419</v>
      </c>
      <c r="BI138" s="507">
        <f t="shared" si="236"/>
        <v>-2351074.508766734</v>
      </c>
      <c r="BJ138" s="507">
        <f t="shared" si="236"/>
        <v>-2468628.2342050709</v>
      </c>
      <c r="BK138" s="507">
        <f t="shared" si="236"/>
        <v>-2592059.6459153248</v>
      </c>
      <c r="BL138" s="507">
        <f t="shared" si="236"/>
        <v>-2721662.6282110908</v>
      </c>
      <c r="BM138" s="507">
        <f>SUMIF($H$2:$BB$2,BM$2,$H138:$BB138)</f>
        <v>-2857745.7596216458</v>
      </c>
      <c r="BN138" s="507">
        <f>SUMIF($H$2:$BB$2,BN$2,$H138:$BB138)</f>
        <v>-3000633.047602728</v>
      </c>
    </row>
    <row r="139" spans="1:66">
      <c r="B139" s="65" t="s">
        <v>96</v>
      </c>
      <c r="C139" s="62"/>
      <c r="D139" s="62"/>
      <c r="E139" s="156"/>
      <c r="F139" s="171">
        <f>SUM('Отчетность АО9 2024'!F7:H7)</f>
        <v>0</v>
      </c>
      <c r="G139" s="171">
        <f>SUM('Отчетность АО9 2024'!I7:K7)</f>
        <v>0</v>
      </c>
      <c r="H139" s="79">
        <f>-$C$28*H134/4 * 2</f>
        <v>-144144.61725000001</v>
      </c>
      <c r="I139" s="79">
        <f t="shared" ref="I139:AT139" si="241">-$C$28*I134/4</f>
        <v>-72072.308625000005</v>
      </c>
      <c r="J139" s="79">
        <f t="shared" si="241"/>
        <v>-72072.308625000005</v>
      </c>
      <c r="K139" s="79">
        <f t="shared" si="241"/>
        <v>-72072.308625000005</v>
      </c>
      <c r="L139" s="79">
        <f t="shared" si="241"/>
        <v>-72072.308625000005</v>
      </c>
      <c r="M139" s="79">
        <f t="shared" si="241"/>
        <v>-75675.924056250005</v>
      </c>
      <c r="N139" s="79">
        <f t="shared" si="241"/>
        <v>-75675.924056250005</v>
      </c>
      <c r="O139" s="79">
        <f t="shared" si="241"/>
        <v>-75675.924056250005</v>
      </c>
      <c r="P139" s="79">
        <f t="shared" si="241"/>
        <v>-75675.924056250005</v>
      </c>
      <c r="Q139" s="79">
        <f t="shared" si="241"/>
        <v>-79459.720259062509</v>
      </c>
      <c r="R139" s="79">
        <f t="shared" si="241"/>
        <v>-79459.720259062509</v>
      </c>
      <c r="S139" s="79">
        <f t="shared" si="241"/>
        <v>-79459.720259062509</v>
      </c>
      <c r="T139" s="79">
        <f t="shared" si="241"/>
        <v>-79459.720259062509</v>
      </c>
      <c r="U139" s="79">
        <f t="shared" si="241"/>
        <v>-83432.706272015639</v>
      </c>
      <c r="V139" s="79">
        <f t="shared" si="241"/>
        <v>-83432.706272015639</v>
      </c>
      <c r="W139" s="79">
        <f t="shared" si="241"/>
        <v>-83432.706272015639</v>
      </c>
      <c r="X139" s="79">
        <f t="shared" si="241"/>
        <v>-83432.706272015639</v>
      </c>
      <c r="Y139" s="79">
        <f t="shared" si="241"/>
        <v>-87604.341585616436</v>
      </c>
      <c r="Z139" s="79">
        <f t="shared" si="241"/>
        <v>-87604.341585616436</v>
      </c>
      <c r="AA139" s="79">
        <f t="shared" si="241"/>
        <v>-87604.341585616436</v>
      </c>
      <c r="AB139" s="79">
        <f t="shared" si="241"/>
        <v>-87604.341585616436</v>
      </c>
      <c r="AC139" s="79">
        <f t="shared" si="241"/>
        <v>-91984.558664897253</v>
      </c>
      <c r="AD139" s="79">
        <f t="shared" si="241"/>
        <v>-91984.558664897253</v>
      </c>
      <c r="AE139" s="79">
        <f t="shared" si="241"/>
        <v>-91984.558664897253</v>
      </c>
      <c r="AF139" s="79">
        <f t="shared" si="241"/>
        <v>-91984.558664897253</v>
      </c>
      <c r="AG139" s="79">
        <f t="shared" si="241"/>
        <v>-96583.78659814212</v>
      </c>
      <c r="AH139" s="79">
        <f t="shared" si="241"/>
        <v>-96583.78659814212</v>
      </c>
      <c r="AI139" s="79">
        <f t="shared" si="241"/>
        <v>-96583.78659814212</v>
      </c>
      <c r="AJ139" s="79">
        <f t="shared" si="241"/>
        <v>-96583.78659814212</v>
      </c>
      <c r="AK139" s="79">
        <f t="shared" si="241"/>
        <v>-101412.97592804923</v>
      </c>
      <c r="AL139" s="79">
        <f t="shared" si="241"/>
        <v>-101412.97592804923</v>
      </c>
      <c r="AM139" s="79">
        <f t="shared" si="241"/>
        <v>-101412.97592804923</v>
      </c>
      <c r="AN139" s="79">
        <f t="shared" si="241"/>
        <v>-101412.97592804923</v>
      </c>
      <c r="AO139" s="79">
        <f t="shared" si="241"/>
        <v>-106483.6247244517</v>
      </c>
      <c r="AP139" s="79">
        <f t="shared" si="241"/>
        <v>-106483.6247244517</v>
      </c>
      <c r="AQ139" s="79">
        <f t="shared" si="241"/>
        <v>-106483.6247244517</v>
      </c>
      <c r="AR139" s="79">
        <f t="shared" si="241"/>
        <v>-106483.6247244517</v>
      </c>
      <c r="AS139" s="79">
        <f t="shared" si="241"/>
        <v>-111807.80596067429</v>
      </c>
      <c r="AT139" s="79">
        <f t="shared" si="241"/>
        <v>-111807.80596067429</v>
      </c>
      <c r="AU139" s="79">
        <f t="shared" ref="AU139:BB139" si="242">-$C$28*AU134/4</f>
        <v>-111807.80596067429</v>
      </c>
      <c r="AV139" s="79">
        <f t="shared" si="242"/>
        <v>-111807.80596067429</v>
      </c>
      <c r="AW139" s="79">
        <f t="shared" si="242"/>
        <v>-117398.19625870801</v>
      </c>
      <c r="AX139" s="79">
        <f t="shared" si="242"/>
        <v>-117398.19625870801</v>
      </c>
      <c r="AY139" s="79">
        <f t="shared" si="242"/>
        <v>-117398.19625870801</v>
      </c>
      <c r="AZ139" s="79">
        <f t="shared" si="242"/>
        <v>-117398.19625870801</v>
      </c>
      <c r="BA139" s="79">
        <f t="shared" si="242"/>
        <v>-123268.1060716434</v>
      </c>
      <c r="BB139" s="79">
        <f t="shared" si="242"/>
        <v>-123268.1060716434</v>
      </c>
      <c r="BD139" s="506" t="s">
        <v>96</v>
      </c>
      <c r="BE139" s="507">
        <f t="shared" si="236"/>
        <v>-291892.84993125004</v>
      </c>
      <c r="BF139" s="507">
        <f>SUMIF($H$2:$BB$2,BF$2,$H139:$BB139)</f>
        <v>-306487.49242781254</v>
      </c>
      <c r="BG139" s="507">
        <f t="shared" si="236"/>
        <v>-321811.86704920314</v>
      </c>
      <c r="BH139" s="507">
        <f t="shared" si="236"/>
        <v>-337902.46040166332</v>
      </c>
      <c r="BI139" s="507">
        <f t="shared" si="236"/>
        <v>-354797.5834217465</v>
      </c>
      <c r="BJ139" s="507">
        <f t="shared" si="236"/>
        <v>-372537.46259283391</v>
      </c>
      <c r="BK139" s="507">
        <f t="shared" si="236"/>
        <v>-391164.3357224756</v>
      </c>
      <c r="BL139" s="507">
        <f t="shared" si="236"/>
        <v>-410722.55250859936</v>
      </c>
      <c r="BM139" s="507">
        <f t="shared" si="236"/>
        <v>-431258.68013402942</v>
      </c>
      <c r="BN139" s="507">
        <f t="shared" si="236"/>
        <v>-452821.61414073088</v>
      </c>
    </row>
    <row r="140" spans="1:66">
      <c r="B140" s="65" t="s">
        <v>42</v>
      </c>
      <c r="C140" s="62"/>
      <c r="D140" s="62"/>
      <c r="E140" s="114">
        <f>-$C$32/4</f>
        <v>-1011750</v>
      </c>
      <c r="F140" s="172">
        <f>SUM('Отчетность АО9 2024'!F3:H3)</f>
        <v>0</v>
      </c>
      <c r="G140" s="172">
        <f>SUM('Отчетность АО9 2024'!I3:K3)</f>
        <v>-283056.45</v>
      </c>
      <c r="H140" s="79">
        <f>-120000*3-217250*3</f>
        <v>-1011750</v>
      </c>
      <c r="I140" s="79">
        <f t="shared" ref="I140:K140" si="243">-120000*3-217250*3</f>
        <v>-1011750</v>
      </c>
      <c r="J140" s="79">
        <f t="shared" si="243"/>
        <v>-1011750</v>
      </c>
      <c r="K140" s="79">
        <f t="shared" si="243"/>
        <v>-1011750</v>
      </c>
      <c r="L140" s="79">
        <f>H140*1.05</f>
        <v>-1062337.5</v>
      </c>
      <c r="M140" s="79">
        <f t="shared" ref="M140:AU140" si="244">I140*1.05</f>
        <v>-1062337.5</v>
      </c>
      <c r="N140" s="79">
        <f t="shared" si="244"/>
        <v>-1062337.5</v>
      </c>
      <c r="O140" s="79">
        <f t="shared" si="244"/>
        <v>-1062337.5</v>
      </c>
      <c r="P140" s="79">
        <f t="shared" si="244"/>
        <v>-1115454.375</v>
      </c>
      <c r="Q140" s="79">
        <f t="shared" si="244"/>
        <v>-1115454.375</v>
      </c>
      <c r="R140" s="79">
        <f t="shared" si="244"/>
        <v>-1115454.375</v>
      </c>
      <c r="S140" s="79">
        <f t="shared" si="244"/>
        <v>-1115454.375</v>
      </c>
      <c r="T140" s="79">
        <f t="shared" si="244"/>
        <v>-1171227.09375</v>
      </c>
      <c r="U140" s="79">
        <f t="shared" si="244"/>
        <v>-1171227.09375</v>
      </c>
      <c r="V140" s="79">
        <f t="shared" si="244"/>
        <v>-1171227.09375</v>
      </c>
      <c r="W140" s="79">
        <f t="shared" si="244"/>
        <v>-1171227.09375</v>
      </c>
      <c r="X140" s="79">
        <f t="shared" si="244"/>
        <v>-1229788.4484375</v>
      </c>
      <c r="Y140" s="79">
        <f t="shared" si="244"/>
        <v>-1229788.4484375</v>
      </c>
      <c r="Z140" s="79">
        <f t="shared" si="244"/>
        <v>-1229788.4484375</v>
      </c>
      <c r="AA140" s="79">
        <f t="shared" si="244"/>
        <v>-1229788.4484375</v>
      </c>
      <c r="AB140" s="79">
        <f t="shared" si="244"/>
        <v>-1291277.870859375</v>
      </c>
      <c r="AC140" s="79">
        <f t="shared" si="244"/>
        <v>-1291277.870859375</v>
      </c>
      <c r="AD140" s="79">
        <f t="shared" si="244"/>
        <v>-1291277.870859375</v>
      </c>
      <c r="AE140" s="79">
        <f t="shared" si="244"/>
        <v>-1291277.870859375</v>
      </c>
      <c r="AF140" s="79">
        <f t="shared" si="244"/>
        <v>-1355841.7644023439</v>
      </c>
      <c r="AG140" s="79">
        <f t="shared" si="244"/>
        <v>-1355841.7644023439</v>
      </c>
      <c r="AH140" s="79">
        <f t="shared" si="244"/>
        <v>-1355841.7644023439</v>
      </c>
      <c r="AI140" s="79">
        <f t="shared" si="244"/>
        <v>-1355841.7644023439</v>
      </c>
      <c r="AJ140" s="79">
        <f t="shared" si="244"/>
        <v>-1423633.852622461</v>
      </c>
      <c r="AK140" s="79">
        <f t="shared" si="244"/>
        <v>-1423633.852622461</v>
      </c>
      <c r="AL140" s="79">
        <f t="shared" si="244"/>
        <v>-1423633.852622461</v>
      </c>
      <c r="AM140" s="79">
        <f t="shared" si="244"/>
        <v>-1423633.852622461</v>
      </c>
      <c r="AN140" s="79">
        <f t="shared" si="244"/>
        <v>-1494815.5452535842</v>
      </c>
      <c r="AO140" s="79">
        <f t="shared" si="244"/>
        <v>-1494815.5452535842</v>
      </c>
      <c r="AP140" s="79">
        <f t="shared" si="244"/>
        <v>-1494815.5452535842</v>
      </c>
      <c r="AQ140" s="79">
        <f t="shared" si="244"/>
        <v>-1494815.5452535842</v>
      </c>
      <c r="AR140" s="79">
        <f t="shared" si="244"/>
        <v>-1569556.3225162635</v>
      </c>
      <c r="AS140" s="79">
        <f t="shared" si="244"/>
        <v>-1569556.3225162635</v>
      </c>
      <c r="AT140" s="79">
        <f t="shared" si="244"/>
        <v>-1569556.3225162635</v>
      </c>
      <c r="AU140" s="79">
        <f t="shared" si="244"/>
        <v>-1569556.3225162635</v>
      </c>
      <c r="AV140" s="79">
        <f t="shared" ref="AV140" si="245">AR140*1.05</f>
        <v>-1648034.1386420766</v>
      </c>
      <c r="AW140" s="79">
        <f t="shared" ref="AW140" si="246">AS140*1.05</f>
        <v>-1648034.1386420766</v>
      </c>
      <c r="AX140" s="79">
        <f t="shared" ref="AX140" si="247">AT140*1.05</f>
        <v>-1648034.1386420766</v>
      </c>
      <c r="AY140" s="79">
        <f t="shared" ref="AY140" si="248">AU140*1.05</f>
        <v>-1648034.1386420766</v>
      </c>
      <c r="AZ140" s="79">
        <f t="shared" ref="AZ140" si="249">AV140*1.05</f>
        <v>-1730435.8455741806</v>
      </c>
      <c r="BA140" s="79">
        <f t="shared" ref="BA140" si="250">AW140*1.05</f>
        <v>-1730435.8455741806</v>
      </c>
      <c r="BB140" s="79">
        <f t="shared" ref="BB140" si="251">AX140*1.05</f>
        <v>-1730435.8455741806</v>
      </c>
      <c r="BD140" s="506" t="s">
        <v>42</v>
      </c>
      <c r="BE140" s="507">
        <f t="shared" si="236"/>
        <v>-4148175</v>
      </c>
      <c r="BF140" s="507">
        <f>SUMIF($H$2:$BB$2,BF$2,$H140:$BB140)</f>
        <v>-4355583.75</v>
      </c>
      <c r="BG140" s="507">
        <f t="shared" si="236"/>
        <v>-4573362.9375</v>
      </c>
      <c r="BH140" s="507">
        <f t="shared" si="236"/>
        <v>-4802031.0843749996</v>
      </c>
      <c r="BI140" s="507">
        <f t="shared" si="236"/>
        <v>-5042132.6385937501</v>
      </c>
      <c r="BJ140" s="507">
        <f t="shared" si="236"/>
        <v>-5294239.2705234382</v>
      </c>
      <c r="BK140" s="507">
        <f t="shared" si="236"/>
        <v>-5558951.2340496099</v>
      </c>
      <c r="BL140" s="507">
        <f t="shared" si="236"/>
        <v>-5836898.7957520904</v>
      </c>
      <c r="BM140" s="507">
        <f>SUMIF($H$2:$BB$2,BM$2,$H140:$BB140)</f>
        <v>-6128743.7355396952</v>
      </c>
      <c r="BN140" s="507">
        <f t="shared" si="236"/>
        <v>-6435180.9223166797</v>
      </c>
    </row>
    <row r="141" spans="1:66" s="21" customFormat="1" ht="15.6">
      <c r="A141" s="5"/>
      <c r="B141" s="68" t="s">
        <v>22</v>
      </c>
      <c r="C141" s="69"/>
      <c r="D141" s="70"/>
      <c r="E141" s="157"/>
      <c r="F141" s="166">
        <f>SUM(F136:F140,F129)</f>
        <v>0</v>
      </c>
      <c r="G141" s="166">
        <f>SUM(G136:G140,G129)</f>
        <v>8404099.7699999996</v>
      </c>
      <c r="H141" s="81">
        <f>SUM(H136:H140,H129)</f>
        <v>9272739.21545</v>
      </c>
      <c r="I141" s="81">
        <f t="shared" ref="I141:AT141" si="252">SUM(I136:I140,I129)</f>
        <v>10069632.087036999</v>
      </c>
      <c r="J141" s="81">
        <f t="shared" si="252"/>
        <v>10194400.882924998</v>
      </c>
      <c r="K141" s="81">
        <f t="shared" si="252"/>
        <v>9325741.1948039979</v>
      </c>
      <c r="L141" s="81">
        <f t="shared" si="252"/>
        <v>11139418.259919997</v>
      </c>
      <c r="M141" s="81">
        <f>SUM(M136:M140,M129)</f>
        <v>11154665.853354452</v>
      </c>
      <c r="N141" s="81">
        <f t="shared" si="252"/>
        <v>11291911.528831249</v>
      </c>
      <c r="O141" s="81">
        <f t="shared" si="252"/>
        <v>10336385.87189815</v>
      </c>
      <c r="P141" s="81">
        <f t="shared" si="252"/>
        <v>12333960.018525748</v>
      </c>
      <c r="Q141" s="81">
        <f t="shared" si="252"/>
        <v>12352106.524184333</v>
      </c>
      <c r="R141" s="81">
        <f t="shared" si="252"/>
        <v>12503076.767208811</v>
      </c>
      <c r="S141" s="81">
        <f t="shared" si="252"/>
        <v>11451998.544582404</v>
      </c>
      <c r="T141" s="81">
        <f t="shared" si="252"/>
        <v>13651985.949622763</v>
      </c>
      <c r="U141" s="81">
        <f t="shared" si="252"/>
        <v>13673389.966371927</v>
      </c>
      <c r="V141" s="81">
        <f t="shared" si="252"/>
        <v>13839457.23369885</v>
      </c>
      <c r="W141" s="81">
        <f t="shared" si="252"/>
        <v>12683271.188809805</v>
      </c>
      <c r="X141" s="81">
        <f t="shared" si="252"/>
        <v>15106045.970291696</v>
      </c>
      <c r="Y141" s="81">
        <f t="shared" si="252"/>
        <v>15131105.392266737</v>
      </c>
      <c r="Z141" s="81">
        <f t="shared" si="252"/>
        <v>15313779.386326352</v>
      </c>
      <c r="AA141" s="81">
        <f t="shared" si="252"/>
        <v>14041974.736948403</v>
      </c>
      <c r="AB141" s="81">
        <f t="shared" si="252"/>
        <v>16709955.064312864</v>
      </c>
      <c r="AC141" s="81">
        <f t="shared" si="252"/>
        <v>16739111.182213916</v>
      </c>
      <c r="AD141" s="81">
        <f t="shared" si="252"/>
        <v>16940052.575679485</v>
      </c>
      <c r="AE141" s="81">
        <f t="shared" si="252"/>
        <v>15541067.461363746</v>
      </c>
      <c r="AF141" s="81">
        <f t="shared" si="252"/>
        <v>18478920.292585742</v>
      </c>
      <c r="AG141" s="81">
        <f t="shared" si="252"/>
        <v>18512662.313691825</v>
      </c>
      <c r="AH141" s="81">
        <f t="shared" si="252"/>
        <v>18733697.846503966</v>
      </c>
      <c r="AI141" s="81">
        <f t="shared" si="252"/>
        <v>17194814.220756643</v>
      </c>
      <c r="AJ141" s="81">
        <f t="shared" si="252"/>
        <v>20429680.529777985</v>
      </c>
      <c r="AK141" s="81">
        <f t="shared" si="252"/>
        <v>20468550.558980364</v>
      </c>
      <c r="AL141" s="81">
        <f t="shared" si="252"/>
        <v>25451431.425221309</v>
      </c>
      <c r="AM141" s="81">
        <f t="shared" si="252"/>
        <v>23408430.749660216</v>
      </c>
      <c r="AN141" s="81">
        <f t="shared" si="252"/>
        <v>27721812.791297927</v>
      </c>
      <c r="AO141" s="81">
        <f t="shared" si="252"/>
        <v>27783639.585303798</v>
      </c>
      <c r="AP141" s="81">
        <f t="shared" si="252"/>
        <v>28106427.68235876</v>
      </c>
      <c r="AQ141" s="81">
        <f t="shared" si="252"/>
        <v>25859126.939241555</v>
      </c>
      <c r="AR141" s="81">
        <f t="shared" si="252"/>
        <v>30607406.269674595</v>
      </c>
      <c r="AS141" s="81">
        <f t="shared" si="252"/>
        <v>30677349.314180266</v>
      </c>
      <c r="AT141" s="81">
        <f t="shared" si="252"/>
        <v>31032416.220940717</v>
      </c>
      <c r="AU141" s="81">
        <f t="shared" ref="AU141:BB141" si="253">SUM(AU136:AU140,AU129)</f>
        <v>28560385.403511796</v>
      </c>
      <c r="AV141" s="81">
        <f t="shared" si="253"/>
        <v>33787229.705851279</v>
      </c>
      <c r="AW141" s="81">
        <f t="shared" si="253"/>
        <v>33866197.30446168</v>
      </c>
      <c r="AX141" s="81">
        <f t="shared" si="253"/>
        <v>34256770.901898183</v>
      </c>
      <c r="AY141" s="81">
        <f t="shared" si="253"/>
        <v>31537537.002726365</v>
      </c>
      <c r="AZ141" s="81">
        <f t="shared" si="253"/>
        <v>37290989.626106083</v>
      </c>
      <c r="BA141" s="81">
        <f t="shared" si="253"/>
        <v>37379985.746714421</v>
      </c>
      <c r="BB141" s="81">
        <f t="shared" si="253"/>
        <v>37809616.703894556</v>
      </c>
      <c r="BD141" s="508" t="s">
        <v>22</v>
      </c>
      <c r="BE141" s="509">
        <f t="shared" si="236"/>
        <v>41814226.191003442</v>
      </c>
      <c r="BF141" s="509">
        <f t="shared" si="236"/>
        <v>46314363.943439476</v>
      </c>
      <c r="BG141" s="509">
        <f t="shared" si="236"/>
        <v>51280451.2277859</v>
      </c>
      <c r="BH141" s="509">
        <f t="shared" si="236"/>
        <v>56759879.785067089</v>
      </c>
      <c r="BI141" s="509">
        <f t="shared" si="236"/>
        <v>62804820.369801536</v>
      </c>
      <c r="BJ141" s="509">
        <f t="shared" si="236"/>
        <v>69472702.643320799</v>
      </c>
      <c r="BK141" s="509">
        <f t="shared" si="236"/>
        <v>76826743.156018957</v>
      </c>
      <c r="BL141" s="509">
        <f t="shared" si="236"/>
        <v>104365314.55148326</v>
      </c>
      <c r="BM141" s="509">
        <f t="shared" si="236"/>
        <v>115250310.20545518</v>
      </c>
      <c r="BN141" s="509">
        <f t="shared" si="236"/>
        <v>127246228.63476548</v>
      </c>
    </row>
    <row r="142" spans="1:66" s="76" customFormat="1" ht="15.6">
      <c r="A142" s="118"/>
      <c r="B142" s="112" t="s">
        <v>23</v>
      </c>
      <c r="E142" s="153"/>
      <c r="F142" s="173"/>
      <c r="G142" s="175">
        <f>IFERROR(G141/G129,"n/a")</f>
        <v>0.85139572850027356</v>
      </c>
      <c r="H142" s="484">
        <f>IFERROR(H141/H129,"n/a")</f>
        <v>0.90909207994607844</v>
      </c>
      <c r="I142" s="484">
        <f t="shared" ref="I142:AD142" si="254">IFERROR(I141/I129,"n/a")</f>
        <v>0.8657548493158761</v>
      </c>
      <c r="J142" s="484">
        <f t="shared" si="254"/>
        <v>0.86717964292047856</v>
      </c>
      <c r="K142" s="484">
        <f t="shared" si="254"/>
        <v>0.85658222623348124</v>
      </c>
      <c r="L142" s="484">
        <f t="shared" si="254"/>
        <v>0.87358278194689543</v>
      </c>
      <c r="M142" s="484">
        <f>IFERROR(M141/M129,"n/a")</f>
        <v>0.87185690161969986</v>
      </c>
      <c r="N142" s="484">
        <f t="shared" si="254"/>
        <v>0.87321693187863858</v>
      </c>
      <c r="O142" s="484">
        <f t="shared" si="254"/>
        <v>0.86310121595014111</v>
      </c>
      <c r="P142" s="484">
        <f t="shared" si="254"/>
        <v>0.87932901913112749</v>
      </c>
      <c r="Q142" s="484">
        <f t="shared" si="254"/>
        <v>0.87768158790971362</v>
      </c>
      <c r="R142" s="484">
        <f t="shared" si="254"/>
        <v>0.87897979861142772</v>
      </c>
      <c r="S142" s="484">
        <f t="shared" si="254"/>
        <v>0.86932388795240756</v>
      </c>
      <c r="T142" s="484">
        <f t="shared" si="254"/>
        <v>0.88481406371607629</v>
      </c>
      <c r="U142" s="484">
        <f t="shared" si="254"/>
        <v>0.88324151573199938</v>
      </c>
      <c r="V142" s="484">
        <f t="shared" si="254"/>
        <v>0.88448071685636287</v>
      </c>
      <c r="W142" s="484">
        <f t="shared" si="254"/>
        <v>0.87526371122729807</v>
      </c>
      <c r="X142" s="484">
        <f t="shared" si="254"/>
        <v>0.89004978809261825</v>
      </c>
      <c r="Y142" s="484">
        <f t="shared" si="254"/>
        <v>0.88854871956236292</v>
      </c>
      <c r="Z142" s="484">
        <f t="shared" si="254"/>
        <v>0.88973159336289176</v>
      </c>
      <c r="AA142" s="484">
        <f t="shared" si="254"/>
        <v>0.88093354253514811</v>
      </c>
      <c r="AB142" s="484">
        <f t="shared" si="254"/>
        <v>0.89504752499749929</v>
      </c>
      <c r="AC142" s="484">
        <f t="shared" si="254"/>
        <v>0.89361468685498291</v>
      </c>
      <c r="AD142" s="484">
        <f t="shared" si="254"/>
        <v>0.89474379366457846</v>
      </c>
      <c r="AE142" s="484">
        <f t="shared" ref="AE142:AT142" si="255">IFERROR(AE141/AE129,"n/a")</f>
        <v>0.88634565423809597</v>
      </c>
      <c r="AF142" s="484">
        <f t="shared" si="255"/>
        <v>0.8998180920430674</v>
      </c>
      <c r="AG142" s="484">
        <f t="shared" si="255"/>
        <v>0.89845038290702894</v>
      </c>
      <c r="AH142" s="484">
        <f t="shared" si="255"/>
        <v>0.89952816667982505</v>
      </c>
      <c r="AI142" s="484">
        <f t="shared" si="255"/>
        <v>0.89151176086363693</v>
      </c>
      <c r="AJ142" s="484">
        <f t="shared" si="255"/>
        <v>0.90437181513201892</v>
      </c>
      <c r="AK142" s="484">
        <f t="shared" si="255"/>
        <v>0.90306627459307331</v>
      </c>
      <c r="AL142" s="484">
        <f t="shared" si="255"/>
        <v>0.92053591364677068</v>
      </c>
      <c r="AM142" s="484">
        <f t="shared" si="255"/>
        <v>0.91419566541033126</v>
      </c>
      <c r="AN142" s="484">
        <f t="shared" si="255"/>
        <v>0.92436679924077858</v>
      </c>
      <c r="AO142" s="484">
        <f t="shared" si="255"/>
        <v>0.92333423535997616</v>
      </c>
      <c r="AP142" s="484">
        <f t="shared" si="255"/>
        <v>0.9241479175719175</v>
      </c>
      <c r="AQ142" s="484">
        <f t="shared" si="255"/>
        <v>0.91809586243713437</v>
      </c>
      <c r="AR142" s="484">
        <f t="shared" si="255"/>
        <v>0.92780467200256145</v>
      </c>
      <c r="AS142" s="484">
        <f t="shared" si="255"/>
        <v>0.92681904284361361</v>
      </c>
      <c r="AT142" s="484">
        <f t="shared" si="255"/>
        <v>0.9275957395004667</v>
      </c>
      <c r="AU142" s="484">
        <f t="shared" ref="AU142:BB142" si="256">IFERROR(AU141/AU129,"n/a")</f>
        <v>0.92181877778090093</v>
      </c>
      <c r="AV142" s="484">
        <f t="shared" si="256"/>
        <v>0.93108627782062681</v>
      </c>
      <c r="AW142" s="484">
        <f t="shared" si="256"/>
        <v>0.93014544998708559</v>
      </c>
      <c r="AX142" s="484">
        <f t="shared" si="256"/>
        <v>0.93088684225044538</v>
      </c>
      <c r="AY142" s="484">
        <f t="shared" si="256"/>
        <v>0.92537246969995091</v>
      </c>
      <c r="AZ142" s="484">
        <f t="shared" si="256"/>
        <v>0.93421871973787096</v>
      </c>
      <c r="BA142" s="484">
        <f t="shared" si="256"/>
        <v>0.93332065680585463</v>
      </c>
      <c r="BB142" s="484">
        <f t="shared" si="256"/>
        <v>0.93402834942087987</v>
      </c>
      <c r="BD142" s="500" t="s">
        <v>23</v>
      </c>
      <c r="BE142" s="501"/>
      <c r="BF142" s="501"/>
      <c r="BG142" s="501"/>
      <c r="BH142" s="501"/>
      <c r="BI142" s="501"/>
      <c r="BJ142" s="501"/>
      <c r="BK142" s="501"/>
      <c r="BL142" s="501"/>
      <c r="BM142" s="501"/>
      <c r="BN142" s="501"/>
    </row>
    <row r="143" spans="1:66" s="88" customFormat="1" ht="5.4" customHeight="1">
      <c r="A143" s="5"/>
      <c r="B143" s="73"/>
      <c r="D143" s="74"/>
      <c r="E143" s="154"/>
      <c r="F143" s="168"/>
      <c r="G143" s="183"/>
      <c r="H143" s="484"/>
      <c r="I143" s="484"/>
      <c r="J143" s="484"/>
      <c r="K143" s="484"/>
      <c r="L143" s="484"/>
      <c r="M143" s="484"/>
      <c r="N143" s="484"/>
      <c r="O143" s="484"/>
      <c r="P143" s="484"/>
      <c r="Q143" s="484"/>
      <c r="R143" s="484"/>
      <c r="S143" s="484"/>
      <c r="T143" s="484"/>
      <c r="U143" s="484"/>
      <c r="V143" s="484"/>
      <c r="W143" s="484"/>
      <c r="X143" s="484"/>
      <c r="Y143" s="484"/>
      <c r="Z143" s="484"/>
      <c r="AA143" s="484"/>
      <c r="AB143" s="484"/>
      <c r="AC143" s="484"/>
      <c r="AD143" s="484"/>
      <c r="AE143" s="484"/>
      <c r="AF143" s="484"/>
      <c r="AG143" s="484"/>
      <c r="AH143" s="484"/>
      <c r="AI143" s="484"/>
      <c r="AJ143" s="484"/>
      <c r="AK143" s="484"/>
      <c r="AL143" s="484"/>
      <c r="AM143" s="484"/>
      <c r="AN143" s="484"/>
      <c r="AO143" s="484"/>
      <c r="AP143" s="484"/>
      <c r="AQ143" s="484"/>
      <c r="AR143" s="484"/>
      <c r="AS143" s="484"/>
      <c r="AT143" s="484"/>
      <c r="AU143" s="484"/>
      <c r="AV143" s="484"/>
      <c r="AW143" s="484"/>
      <c r="AX143" s="484"/>
      <c r="AY143" s="484"/>
      <c r="AZ143" s="484"/>
      <c r="BA143" s="484"/>
      <c r="BB143" s="484"/>
      <c r="BD143" s="500"/>
      <c r="BE143" s="501"/>
      <c r="BF143" s="501"/>
      <c r="BG143" s="501"/>
      <c r="BH143" s="501"/>
      <c r="BI143" s="501"/>
      <c r="BJ143" s="501"/>
      <c r="BK143" s="501"/>
      <c r="BL143" s="501"/>
      <c r="BM143" s="501"/>
      <c r="BN143" s="501"/>
    </row>
    <row r="144" spans="1:66" ht="15.6">
      <c r="B144" s="65" t="s">
        <v>25</v>
      </c>
      <c r="C144" s="307" t="s">
        <v>256</v>
      </c>
      <c r="D144" s="62"/>
      <c r="E144" s="158">
        <f>$C$44</f>
        <v>5.9999999999999995E-4</v>
      </c>
      <c r="F144" s="171">
        <v>0</v>
      </c>
      <c r="G144" s="171">
        <v>-172000</v>
      </c>
      <c r="H144" s="79">
        <f t="shared" ref="H144:AU144" si="257">IF(H89=$G$89,$E$144*-1*G170,0)</f>
        <v>0</v>
      </c>
      <c r="I144" s="79">
        <f t="shared" si="257"/>
        <v>0</v>
      </c>
      <c r="J144" s="79">
        <f>IF(J89=$G$89,$E$144*-1*I170,0)</f>
        <v>0</v>
      </c>
      <c r="K144" s="79">
        <f t="shared" si="257"/>
        <v>-294251.90973880934</v>
      </c>
      <c r="L144" s="79">
        <f t="shared" si="257"/>
        <v>0</v>
      </c>
      <c r="M144" s="79">
        <f>IF(M89=$G$89,$E$144*-1*L170,0)</f>
        <v>0</v>
      </c>
      <c r="N144" s="79">
        <f t="shared" si="257"/>
        <v>0</v>
      </c>
      <c r="O144" s="79">
        <f t="shared" si="257"/>
        <v>-335474.32363635552</v>
      </c>
      <c r="P144" s="79">
        <f t="shared" si="257"/>
        <v>0</v>
      </c>
      <c r="Q144" s="79">
        <f t="shared" si="257"/>
        <v>0</v>
      </c>
      <c r="R144" s="79">
        <f t="shared" si="257"/>
        <v>0</v>
      </c>
      <c r="S144" s="79">
        <f t="shared" si="257"/>
        <v>-371412.92960665375</v>
      </c>
      <c r="T144" s="79">
        <f t="shared" si="257"/>
        <v>0</v>
      </c>
      <c r="U144" s="79">
        <f t="shared" si="257"/>
        <v>0</v>
      </c>
      <c r="V144" s="79">
        <f t="shared" si="257"/>
        <v>0</v>
      </c>
      <c r="W144" s="79">
        <f t="shared" si="257"/>
        <v>-411064.95485431468</v>
      </c>
      <c r="X144" s="79">
        <f t="shared" si="257"/>
        <v>0</v>
      </c>
      <c r="Y144" s="79">
        <f t="shared" si="257"/>
        <v>0</v>
      </c>
      <c r="Z144" s="79">
        <f t="shared" si="257"/>
        <v>0</v>
      </c>
      <c r="AA144" s="79">
        <f t="shared" si="257"/>
        <v>-454807.71924109169</v>
      </c>
      <c r="AB144" s="79">
        <f t="shared" si="257"/>
        <v>0</v>
      </c>
      <c r="AC144" s="79">
        <f t="shared" si="257"/>
        <v>0</v>
      </c>
      <c r="AD144" s="79">
        <f t="shared" si="257"/>
        <v>0</v>
      </c>
      <c r="AE144" s="79">
        <f t="shared" si="257"/>
        <v>-503056.57351161365</v>
      </c>
      <c r="AF144" s="79">
        <f t="shared" si="257"/>
        <v>0</v>
      </c>
      <c r="AG144" s="79">
        <f t="shared" si="257"/>
        <v>0</v>
      </c>
      <c r="AH144" s="79">
        <f t="shared" si="257"/>
        <v>0</v>
      </c>
      <c r="AI144" s="79">
        <f t="shared" si="257"/>
        <v>-589725.71812755021</v>
      </c>
      <c r="AJ144" s="79">
        <f t="shared" si="257"/>
        <v>0</v>
      </c>
      <c r="AK144" s="79">
        <f t="shared" si="257"/>
        <v>0</v>
      </c>
      <c r="AL144" s="79">
        <f t="shared" si="257"/>
        <v>0</v>
      </c>
      <c r="AM144" s="79">
        <f t="shared" si="257"/>
        <v>-755437.48806085193</v>
      </c>
      <c r="AN144" s="79">
        <f t="shared" si="257"/>
        <v>0</v>
      </c>
      <c r="AO144" s="79">
        <f t="shared" si="257"/>
        <v>0</v>
      </c>
      <c r="AP144" s="79">
        <f t="shared" si="257"/>
        <v>0</v>
      </c>
      <c r="AQ144" s="79">
        <f t="shared" si="257"/>
        <v>-834185.63819320314</v>
      </c>
      <c r="AR144" s="79">
        <f t="shared" si="257"/>
        <v>0</v>
      </c>
      <c r="AS144" s="79">
        <f t="shared" si="257"/>
        <v>0</v>
      </c>
      <c r="AT144" s="79">
        <f t="shared" si="257"/>
        <v>0</v>
      </c>
      <c r="AU144" s="79">
        <f t="shared" si="257"/>
        <v>-920968.82340510294</v>
      </c>
      <c r="AV144" s="79">
        <f t="shared" ref="AV144:BB144" si="258">IF(AV89=$G$89,$E$144*-1*AU170,0)</f>
        <v>0</v>
      </c>
      <c r="AW144" s="79">
        <f t="shared" si="258"/>
        <v>0</v>
      </c>
      <c r="AX144" s="79">
        <f t="shared" si="258"/>
        <v>0</v>
      </c>
      <c r="AY144" s="79">
        <f t="shared" si="258"/>
        <v>-1016598.5582078216</v>
      </c>
      <c r="AZ144" s="79">
        <f t="shared" si="258"/>
        <v>0</v>
      </c>
      <c r="BA144" s="79">
        <f t="shared" si="258"/>
        <v>0</v>
      </c>
      <c r="BB144" s="79">
        <f t="shared" si="258"/>
        <v>0</v>
      </c>
      <c r="BD144" s="506" t="s">
        <v>25</v>
      </c>
      <c r="BE144" s="507">
        <f t="shared" ref="BE144:BN154" si="259">SUMIF($H$2:$BB$2,BE$2,$H144:$BB144)</f>
        <v>-294251.90973880934</v>
      </c>
      <c r="BF144" s="507">
        <f t="shared" si="259"/>
        <v>-335474.32363635552</v>
      </c>
      <c r="BG144" s="507">
        <f t="shared" si="259"/>
        <v>-371412.92960665375</v>
      </c>
      <c r="BH144" s="507">
        <f t="shared" si="259"/>
        <v>-411064.95485431468</v>
      </c>
      <c r="BI144" s="507">
        <f t="shared" si="259"/>
        <v>-454807.71924109169</v>
      </c>
      <c r="BJ144" s="507">
        <f t="shared" si="259"/>
        <v>-503056.57351161365</v>
      </c>
      <c r="BK144" s="507">
        <f t="shared" si="259"/>
        <v>-589725.71812755021</v>
      </c>
      <c r="BL144" s="507">
        <f t="shared" si="259"/>
        <v>-755437.48806085193</v>
      </c>
      <c r="BM144" s="507">
        <f t="shared" si="259"/>
        <v>-834185.63819320314</v>
      </c>
      <c r="BN144" s="507">
        <f>SUMIF($H$2:$BB$2,BN$2,$H144:$BB144)</f>
        <v>-920968.82340510294</v>
      </c>
    </row>
    <row r="145" spans="1:74">
      <c r="B145" s="65" t="s">
        <v>8</v>
      </c>
      <c r="C145" s="308">
        <f>N12+SUM(F145:G145)+907258-4825670</f>
        <v>2617699.9399999995</v>
      </c>
      <c r="D145" s="62"/>
      <c r="E145" s="155">
        <f>$C$39</f>
        <v>0.01</v>
      </c>
      <c r="F145" s="171">
        <f>SUM('Отчетность АО9 2024'!F11:H11)</f>
        <v>-4542000</v>
      </c>
      <c r="G145" s="171">
        <f>SUM('Отчетность АО9 2024'!I11:K11)-5000000</f>
        <v>-7671888.0600000005</v>
      </c>
      <c r="H145" s="79">
        <f>(G170*-1/4*$E$145) - 4825670</f>
        <v>-5860765.776025</v>
      </c>
      <c r="I145" s="79">
        <f>(H170*-1/4*$E$145)</f>
        <v>-1082522.6531097537</v>
      </c>
      <c r="J145" s="79">
        <f>(I170*-1/4*$E$145)</f>
        <v>-1194692.1768858128</v>
      </c>
      <c r="K145" s="79">
        <f>(J170*-1/4*$E$145)</f>
        <v>-1226049.6239117058</v>
      </c>
      <c r="L145" s="79">
        <f>(K170*-1/4*$E$145) - $C$145/4</f>
        <v>-1909350.1711143958</v>
      </c>
      <c r="M145" s="79">
        <f>(L170*-1/4*$E$145) - $C$145/4</f>
        <v>-1981393.3165473409</v>
      </c>
      <c r="N145" s="79">
        <f>(M170*-1/4*$E$145) - $C$145/4</f>
        <v>-2016612.1598070434</v>
      </c>
      <c r="O145" s="79">
        <f>(N170*-1/4*$E$145) - $C$145/4</f>
        <v>-2052234.666818148</v>
      </c>
      <c r="P145" s="79">
        <f>(O170*-1/4*$E$145)</f>
        <v>-1430621.8192500384</v>
      </c>
      <c r="Q145" s="79">
        <f t="shared" ref="Q145" si="260">(P170*-1/4*$E$145)</f>
        <v>-1469387.2878117149</v>
      </c>
      <c r="R145" s="79">
        <f t="shared" ref="R145:AD145" si="261">(Q170*-1/4*$E$145)</f>
        <v>-1508248.5655231145</v>
      </c>
      <c r="S145" s="79">
        <f t="shared" si="261"/>
        <v>-1547553.8733610574</v>
      </c>
      <c r="T145" s="79">
        <f t="shared" si="261"/>
        <v>-1583767.7746618632</v>
      </c>
      <c r="U145" s="79">
        <f t="shared" si="261"/>
        <v>-1626534.245858008</v>
      </c>
      <c r="V145" s="79">
        <f t="shared" si="261"/>
        <v>-1669408.2289725614</v>
      </c>
      <c r="W145" s="79">
        <f t="shared" si="261"/>
        <v>-1712770.6452263114</v>
      </c>
      <c r="X145" s="79">
        <f t="shared" si="261"/>
        <v>-1752732.514289211</v>
      </c>
      <c r="Y145" s="79">
        <f t="shared" si="261"/>
        <v>-1799906.3111721869</v>
      </c>
      <c r="Z145" s="79">
        <f t="shared" si="261"/>
        <v>-1847200.5991118099</v>
      </c>
      <c r="AA145" s="79">
        <f t="shared" si="261"/>
        <v>-1895032.1635045491</v>
      </c>
      <c r="AB145" s="79">
        <f t="shared" si="261"/>
        <v>-1939123.125987353</v>
      </c>
      <c r="AC145" s="79">
        <f t="shared" si="261"/>
        <v>-1991151.5150542026</v>
      </c>
      <c r="AD145" s="79">
        <f t="shared" si="261"/>
        <v>-2043314.7836270821</v>
      </c>
      <c r="AE145" s="79">
        <f t="shared" ref="AE145" si="262">(AD170*-1/4*$E$145)</f>
        <v>-2096069.0562983903</v>
      </c>
      <c r="AF145" s="79">
        <f t="shared" ref="AF145" si="263">(AE170*-1/4*$E$145)</f>
        <v>-2144708.66686877</v>
      </c>
      <c r="AG145" s="79">
        <f t="shared" ref="AG145" si="264">(AF170*-1/4*$E$145)</f>
        <v>-2202083.9679626594</v>
      </c>
      <c r="AH145" s="79">
        <f t="shared" ref="AH145" si="265">(AG170*-1/4*$E$145)</f>
        <v>-2259610.092824087</v>
      </c>
      <c r="AI145" s="79">
        <f t="shared" ref="AI145" si="266">(AH170*-1/4*$E$145)</f>
        <v>-2457190.4921981259</v>
      </c>
      <c r="AJ145" s="79">
        <f t="shared" ref="AJ145" si="267">(AI170*-1/4*$E$145)</f>
        <v>-2639943.9195188195</v>
      </c>
      <c r="AK145" s="79">
        <f t="shared" ref="AK145" si="268">(AJ170*-1/4*$E$145)</f>
        <v>-2854418.3977988185</v>
      </c>
      <c r="AL145" s="79">
        <f t="shared" ref="AL145" si="269">(AK170*-1/4*$E$145)</f>
        <v>-3069568.0750436252</v>
      </c>
      <c r="AM145" s="79">
        <f t="shared" ref="AM145" si="270">(AL170*-1/4*$E$145)</f>
        <v>-3147656.20025355</v>
      </c>
      <c r="AN145" s="79">
        <f t="shared" ref="AN145" si="271">(AM170*-1/4*$E$145)</f>
        <v>-3219735.499947119</v>
      </c>
      <c r="AO145" s="79">
        <f t="shared" ref="AO145" si="272">(AN170*-1/4*$E$145)</f>
        <v>-3304605.896369962</v>
      </c>
      <c r="AP145" s="79">
        <f t="shared" ref="AP145" si="273">(AO170*-1/4*$E$145)</f>
        <v>-3389715.0060427994</v>
      </c>
      <c r="AQ145" s="79">
        <f t="shared" ref="AQ145" si="274">(AP170*-1/4*$E$145)</f>
        <v>-3475773.49247168</v>
      </c>
      <c r="AR145" s="79">
        <f t="shared" ref="AR145" si="275">(AQ170*-1/4*$E$145)</f>
        <v>-3555222.2708325698</v>
      </c>
      <c r="AS145" s="79">
        <f t="shared" ref="AS145" si="276">(AR170*-1/4*$E$145)</f>
        <v>-3648746.4895436484</v>
      </c>
      <c r="AT145" s="79">
        <f t="shared" ref="AT145:AU145" si="277">(AS170*-1/4*$E$145)</f>
        <v>-3742536.1363166315</v>
      </c>
      <c r="AU145" s="79">
        <f t="shared" si="277"/>
        <v>-3837370.0975212627</v>
      </c>
      <c r="AV145" s="79">
        <f t="shared" ref="AV145" si="278">(AU170*-1/4*$E$145)</f>
        <v>-3924933.3798511028</v>
      </c>
      <c r="AW145" s="79">
        <f t="shared" ref="AW145" si="279">(AV170*-1/4*$E$145)</f>
        <v>-4027985.1422115387</v>
      </c>
      <c r="AX145" s="79">
        <f t="shared" ref="AX145" si="280">(AW170*-1/4*$E$145)</f>
        <v>-4131331.8611013247</v>
      </c>
      <c r="AY145" s="79">
        <f t="shared" ref="AY145" si="281">(AX170*-1/4*$E$145)</f>
        <v>-4235827.3258659234</v>
      </c>
      <c r="AZ145" s="79">
        <f t="shared" ref="AZ145" si="282">(AY170*-1/4*$E$145)</f>
        <v>-4342965.8371161325</v>
      </c>
      <c r="BA145" s="79">
        <f t="shared" ref="BA145" si="283">(AZ170*-1/4*$E$145)</f>
        <v>-4452814.2465066211</v>
      </c>
      <c r="BB145" s="79">
        <f t="shared" ref="BB145" si="284">(BA170*-1/4*$E$145)</f>
        <v>-4565441.0965982759</v>
      </c>
      <c r="BD145" s="506" t="s">
        <v>8</v>
      </c>
      <c r="BE145" s="507">
        <f t="shared" si="259"/>
        <v>-6311485.2884592554</v>
      </c>
      <c r="BF145" s="507">
        <f t="shared" si="259"/>
        <v>-6968855.9336869456</v>
      </c>
      <c r="BG145" s="507">
        <f t="shared" si="259"/>
        <v>-6266104.4594040429</v>
      </c>
      <c r="BH145" s="507">
        <f t="shared" si="259"/>
        <v>-6934817.6996602714</v>
      </c>
      <c r="BI145" s="507">
        <f t="shared" si="259"/>
        <v>-7672507.4036579141</v>
      </c>
      <c r="BJ145" s="507">
        <f t="shared" si="259"/>
        <v>-8486176.4747569021</v>
      </c>
      <c r="BK145" s="507">
        <f t="shared" si="259"/>
        <v>-10211162.90233985</v>
      </c>
      <c r="BL145" s="507">
        <f t="shared" si="259"/>
        <v>-12741565.671614256</v>
      </c>
      <c r="BM145" s="507">
        <f t="shared" si="259"/>
        <v>-14069457.258890698</v>
      </c>
      <c r="BN145" s="507">
        <f t="shared" si="259"/>
        <v>-15532824.755900536</v>
      </c>
    </row>
    <row r="146" spans="1:74" ht="15.6">
      <c r="B146" s="65" t="s">
        <v>224</v>
      </c>
      <c r="C146" s="78"/>
      <c r="D146" s="62"/>
      <c r="E146" s="66"/>
      <c r="F146" s="171">
        <f>SUM('Отчетность АО9 2024'!F10:H10,'Отчетность АО9 2024'!F12:H12)</f>
        <v>-432597.43999999994</v>
      </c>
      <c r="G146" s="171">
        <f>SUM('Отчетность АО9 2024'!I10:K10,'Отчетность АО9 2024'!I12:K12)+172000 + 5000000</f>
        <v>-4739364.8900000006</v>
      </c>
      <c r="H146" s="79">
        <f>-$C$79/4</f>
        <v>-30000</v>
      </c>
      <c r="I146" s="79">
        <f>-$C$79/4</f>
        <v>-30000</v>
      </c>
      <c r="J146" s="79">
        <f>-$C$79/4</f>
        <v>-30000</v>
      </c>
      <c r="K146" s="79">
        <f t="shared" ref="K146:BB146" si="285">-$C$79/4</f>
        <v>-30000</v>
      </c>
      <c r="L146" s="79">
        <f t="shared" si="285"/>
        <v>-30000</v>
      </c>
      <c r="M146" s="79">
        <f t="shared" si="285"/>
        <v>-30000</v>
      </c>
      <c r="N146" s="79">
        <f t="shared" si="285"/>
        <v>-30000</v>
      </c>
      <c r="O146" s="79">
        <f t="shared" si="285"/>
        <v>-30000</v>
      </c>
      <c r="P146" s="79">
        <f t="shared" si="285"/>
        <v>-30000</v>
      </c>
      <c r="Q146" s="79">
        <f t="shared" si="285"/>
        <v>-30000</v>
      </c>
      <c r="R146" s="79">
        <f t="shared" si="285"/>
        <v>-30000</v>
      </c>
      <c r="S146" s="79">
        <f t="shared" si="285"/>
        <v>-30000</v>
      </c>
      <c r="T146" s="79">
        <f t="shared" si="285"/>
        <v>-30000</v>
      </c>
      <c r="U146" s="79">
        <f t="shared" si="285"/>
        <v>-30000</v>
      </c>
      <c r="V146" s="79">
        <f t="shared" si="285"/>
        <v>-30000</v>
      </c>
      <c r="W146" s="79">
        <f t="shared" si="285"/>
        <v>-30000</v>
      </c>
      <c r="X146" s="79">
        <f t="shared" si="285"/>
        <v>-30000</v>
      </c>
      <c r="Y146" s="79">
        <f t="shared" si="285"/>
        <v>-30000</v>
      </c>
      <c r="Z146" s="79">
        <f t="shared" si="285"/>
        <v>-30000</v>
      </c>
      <c r="AA146" s="79">
        <f t="shared" si="285"/>
        <v>-30000</v>
      </c>
      <c r="AB146" s="79">
        <f t="shared" si="285"/>
        <v>-30000</v>
      </c>
      <c r="AC146" s="79">
        <f t="shared" si="285"/>
        <v>-30000</v>
      </c>
      <c r="AD146" s="79">
        <f t="shared" si="285"/>
        <v>-30000</v>
      </c>
      <c r="AE146" s="79">
        <f t="shared" si="285"/>
        <v>-30000</v>
      </c>
      <c r="AF146" s="79">
        <f t="shared" si="285"/>
        <v>-30000</v>
      </c>
      <c r="AG146" s="79">
        <f t="shared" si="285"/>
        <v>-30000</v>
      </c>
      <c r="AH146" s="79">
        <f t="shared" si="285"/>
        <v>-30000</v>
      </c>
      <c r="AI146" s="79">
        <f t="shared" si="285"/>
        <v>-30000</v>
      </c>
      <c r="AJ146" s="79">
        <f t="shared" si="285"/>
        <v>-30000</v>
      </c>
      <c r="AK146" s="79">
        <f t="shared" si="285"/>
        <v>-30000</v>
      </c>
      <c r="AL146" s="79">
        <f t="shared" si="285"/>
        <v>-30000</v>
      </c>
      <c r="AM146" s="79">
        <f t="shared" si="285"/>
        <v>-30000</v>
      </c>
      <c r="AN146" s="79">
        <f t="shared" si="285"/>
        <v>-30000</v>
      </c>
      <c r="AO146" s="79">
        <f t="shared" si="285"/>
        <v>-30000</v>
      </c>
      <c r="AP146" s="79">
        <f t="shared" si="285"/>
        <v>-30000</v>
      </c>
      <c r="AQ146" s="79">
        <f t="shared" si="285"/>
        <v>-30000</v>
      </c>
      <c r="AR146" s="79">
        <f t="shared" si="285"/>
        <v>-30000</v>
      </c>
      <c r="AS146" s="79">
        <f t="shared" si="285"/>
        <v>-30000</v>
      </c>
      <c r="AT146" s="79">
        <f t="shared" si="285"/>
        <v>-30000</v>
      </c>
      <c r="AU146" s="79">
        <f t="shared" si="285"/>
        <v>-30000</v>
      </c>
      <c r="AV146" s="79">
        <f t="shared" si="285"/>
        <v>-30000</v>
      </c>
      <c r="AW146" s="79">
        <f t="shared" si="285"/>
        <v>-30000</v>
      </c>
      <c r="AX146" s="79">
        <f t="shared" si="285"/>
        <v>-30000</v>
      </c>
      <c r="AY146" s="79">
        <f t="shared" si="285"/>
        <v>-30000</v>
      </c>
      <c r="AZ146" s="79">
        <f t="shared" si="285"/>
        <v>-30000</v>
      </c>
      <c r="BA146" s="79">
        <f t="shared" si="285"/>
        <v>-30000</v>
      </c>
      <c r="BB146" s="79">
        <f t="shared" si="285"/>
        <v>-30000</v>
      </c>
      <c r="BC146" s="21"/>
      <c r="BD146" s="506" t="s">
        <v>224</v>
      </c>
      <c r="BE146" s="507">
        <f t="shared" si="259"/>
        <v>-120000</v>
      </c>
      <c r="BF146" s="507">
        <f t="shared" si="259"/>
        <v>-120000</v>
      </c>
      <c r="BG146" s="507">
        <f t="shared" si="259"/>
        <v>-120000</v>
      </c>
      <c r="BH146" s="507">
        <f t="shared" si="259"/>
        <v>-120000</v>
      </c>
      <c r="BI146" s="507">
        <f t="shared" si="259"/>
        <v>-120000</v>
      </c>
      <c r="BJ146" s="507">
        <f t="shared" si="259"/>
        <v>-120000</v>
      </c>
      <c r="BK146" s="507">
        <f t="shared" si="259"/>
        <v>-120000</v>
      </c>
      <c r="BL146" s="507">
        <f t="shared" si="259"/>
        <v>-120000</v>
      </c>
      <c r="BM146" s="507">
        <f t="shared" si="259"/>
        <v>-120000</v>
      </c>
      <c r="BN146" s="507">
        <f t="shared" si="259"/>
        <v>-120000</v>
      </c>
      <c r="BO146" s="21"/>
      <c r="BP146" s="21"/>
      <c r="BQ146" s="21"/>
      <c r="BR146" s="21"/>
      <c r="BS146" s="21"/>
      <c r="BT146" s="21"/>
      <c r="BU146" s="21"/>
      <c r="BV146" s="21"/>
    </row>
    <row r="147" spans="1:74">
      <c r="B147" s="65" t="s">
        <v>225</v>
      </c>
      <c r="C147" s="62"/>
      <c r="D147" s="62"/>
      <c r="E147" s="66"/>
      <c r="F147" s="171">
        <f>SUM('Отчетность АО9 2024'!F13:H13)</f>
        <v>28584.15</v>
      </c>
      <c r="G147" s="171">
        <f>SUM('Отчетность АО9 2024'!I13:K13)</f>
        <v>889789.42999999993</v>
      </c>
      <c r="H147" s="122">
        <f>65000000*17%/366*30</f>
        <v>905737.70491803286</v>
      </c>
      <c r="I147" s="122">
        <v>0</v>
      </c>
      <c r="J147" s="122">
        <v>0</v>
      </c>
      <c r="K147" s="122">
        <v>0</v>
      </c>
      <c r="L147" s="122">
        <v>0</v>
      </c>
      <c r="M147" s="122">
        <v>0</v>
      </c>
      <c r="N147" s="122">
        <v>0</v>
      </c>
      <c r="O147" s="122">
        <v>0</v>
      </c>
      <c r="P147" s="122">
        <v>0</v>
      </c>
      <c r="Q147" s="122">
        <v>0</v>
      </c>
      <c r="R147" s="122">
        <v>0</v>
      </c>
      <c r="S147" s="122">
        <v>0</v>
      </c>
      <c r="T147" s="122">
        <v>0</v>
      </c>
      <c r="U147" s="122">
        <v>0</v>
      </c>
      <c r="V147" s="122">
        <v>0</v>
      </c>
      <c r="W147" s="122">
        <v>0</v>
      </c>
      <c r="X147" s="122">
        <v>0</v>
      </c>
      <c r="Y147" s="122">
        <v>0</v>
      </c>
      <c r="Z147" s="122">
        <v>0</v>
      </c>
      <c r="AA147" s="122">
        <v>0</v>
      </c>
      <c r="AB147" s="122">
        <v>0</v>
      </c>
      <c r="AC147" s="122">
        <v>0</v>
      </c>
      <c r="AD147" s="122">
        <v>0</v>
      </c>
      <c r="AE147" s="122">
        <v>0</v>
      </c>
      <c r="AF147" s="122">
        <v>0</v>
      </c>
      <c r="AG147" s="122">
        <v>0</v>
      </c>
      <c r="AH147" s="122">
        <v>0</v>
      </c>
      <c r="AI147" s="122">
        <v>0</v>
      </c>
      <c r="AJ147" s="122">
        <v>0</v>
      </c>
      <c r="AK147" s="122">
        <v>0</v>
      </c>
      <c r="AL147" s="122">
        <v>0</v>
      </c>
      <c r="AM147" s="122">
        <v>0</v>
      </c>
      <c r="AN147" s="122">
        <v>0</v>
      </c>
      <c r="AO147" s="122">
        <v>0</v>
      </c>
      <c r="AP147" s="122">
        <v>0</v>
      </c>
      <c r="AQ147" s="122">
        <v>0</v>
      </c>
      <c r="AR147" s="122">
        <v>0</v>
      </c>
      <c r="AS147" s="122">
        <v>0</v>
      </c>
      <c r="AT147" s="122">
        <v>0</v>
      </c>
      <c r="AU147" s="122">
        <v>0</v>
      </c>
      <c r="AV147" s="122">
        <v>0</v>
      </c>
      <c r="AW147" s="122">
        <v>0</v>
      </c>
      <c r="AX147" s="122">
        <v>0</v>
      </c>
      <c r="AY147" s="122">
        <v>0</v>
      </c>
      <c r="AZ147" s="122">
        <v>0</v>
      </c>
      <c r="BA147" s="122">
        <v>0</v>
      </c>
      <c r="BB147" s="122">
        <v>0</v>
      </c>
      <c r="BD147" s="498" t="s">
        <v>225</v>
      </c>
      <c r="BE147" s="499">
        <f t="shared" si="259"/>
        <v>0</v>
      </c>
      <c r="BF147" s="499">
        <f t="shared" si="259"/>
        <v>0</v>
      </c>
      <c r="BG147" s="499">
        <f t="shared" si="259"/>
        <v>0</v>
      </c>
      <c r="BH147" s="499">
        <f t="shared" si="259"/>
        <v>0</v>
      </c>
      <c r="BI147" s="499">
        <f t="shared" si="259"/>
        <v>0</v>
      </c>
      <c r="BJ147" s="499">
        <f t="shared" si="259"/>
        <v>0</v>
      </c>
      <c r="BK147" s="499">
        <f t="shared" si="259"/>
        <v>0</v>
      </c>
      <c r="BL147" s="499">
        <f t="shared" si="259"/>
        <v>0</v>
      </c>
      <c r="BM147" s="499">
        <f t="shared" si="259"/>
        <v>0</v>
      </c>
      <c r="BN147" s="499">
        <f t="shared" si="259"/>
        <v>0</v>
      </c>
    </row>
    <row r="148" spans="1:74">
      <c r="B148" s="65" t="s">
        <v>226</v>
      </c>
      <c r="C148" s="62"/>
      <c r="D148" s="62"/>
      <c r="E148" s="66"/>
      <c r="F148" s="171">
        <f>SUM('Отчетность АО9 2024'!F14:H14)</f>
        <v>-28816</v>
      </c>
      <c r="G148" s="171">
        <f>SUM('Отчетность АО9 2024'!I14:K14)</f>
        <v>-24870</v>
      </c>
      <c r="H148" s="79">
        <f>-ROUND($C$80+$C$81+$C$82+$C$84,-4)/4 + IF(MONTH(H90)=3,-$C$83)</f>
        <v>-7500</v>
      </c>
      <c r="I148" s="79">
        <f t="shared" ref="I148:AU148" si="286">-ROUND($C$80+$C$81+$C$82+$C$84,-4)/4 + IF(MONTH(I90)=3,-$C$83)</f>
        <v>-167500</v>
      </c>
      <c r="J148" s="79">
        <f t="shared" si="286"/>
        <v>-7500</v>
      </c>
      <c r="K148" s="79">
        <f t="shared" si="286"/>
        <v>-7500</v>
      </c>
      <c r="L148" s="79">
        <f t="shared" si="286"/>
        <v>-7500</v>
      </c>
      <c r="M148" s="79">
        <f t="shared" si="286"/>
        <v>-167500</v>
      </c>
      <c r="N148" s="79">
        <f t="shared" si="286"/>
        <v>-7500</v>
      </c>
      <c r="O148" s="79">
        <f t="shared" si="286"/>
        <v>-7500</v>
      </c>
      <c r="P148" s="79">
        <f t="shared" si="286"/>
        <v>-7500</v>
      </c>
      <c r="Q148" s="79">
        <f t="shared" si="286"/>
        <v>-167500</v>
      </c>
      <c r="R148" s="79">
        <f t="shared" si="286"/>
        <v>-7500</v>
      </c>
      <c r="S148" s="79">
        <f t="shared" si="286"/>
        <v>-7500</v>
      </c>
      <c r="T148" s="79">
        <f t="shared" si="286"/>
        <v>-7500</v>
      </c>
      <c r="U148" s="79">
        <f t="shared" si="286"/>
        <v>-167500</v>
      </c>
      <c r="V148" s="79">
        <f t="shared" si="286"/>
        <v>-7500</v>
      </c>
      <c r="W148" s="79">
        <f t="shared" si="286"/>
        <v>-7500</v>
      </c>
      <c r="X148" s="79">
        <f t="shared" si="286"/>
        <v>-7500</v>
      </c>
      <c r="Y148" s="79">
        <f t="shared" si="286"/>
        <v>-167500</v>
      </c>
      <c r="Z148" s="79">
        <f t="shared" si="286"/>
        <v>-7500</v>
      </c>
      <c r="AA148" s="79">
        <f t="shared" si="286"/>
        <v>-7500</v>
      </c>
      <c r="AB148" s="79">
        <f t="shared" si="286"/>
        <v>-7500</v>
      </c>
      <c r="AC148" s="79">
        <f t="shared" si="286"/>
        <v>-167500</v>
      </c>
      <c r="AD148" s="79">
        <f t="shared" si="286"/>
        <v>-7500</v>
      </c>
      <c r="AE148" s="79">
        <f t="shared" si="286"/>
        <v>-7500</v>
      </c>
      <c r="AF148" s="79">
        <f t="shared" si="286"/>
        <v>-7500</v>
      </c>
      <c r="AG148" s="79">
        <f t="shared" si="286"/>
        <v>-167500</v>
      </c>
      <c r="AH148" s="79">
        <f t="shared" si="286"/>
        <v>-7500</v>
      </c>
      <c r="AI148" s="79">
        <f t="shared" si="286"/>
        <v>-7500</v>
      </c>
      <c r="AJ148" s="79">
        <f t="shared" si="286"/>
        <v>-7500</v>
      </c>
      <c r="AK148" s="79">
        <f t="shared" si="286"/>
        <v>-167500</v>
      </c>
      <c r="AL148" s="79">
        <f t="shared" si="286"/>
        <v>-7500</v>
      </c>
      <c r="AM148" s="79">
        <f t="shared" si="286"/>
        <v>-7500</v>
      </c>
      <c r="AN148" s="79">
        <f t="shared" si="286"/>
        <v>-7500</v>
      </c>
      <c r="AO148" s="79">
        <f t="shared" si="286"/>
        <v>-167500</v>
      </c>
      <c r="AP148" s="79">
        <f t="shared" si="286"/>
        <v>-7500</v>
      </c>
      <c r="AQ148" s="79">
        <f t="shared" si="286"/>
        <v>-7500</v>
      </c>
      <c r="AR148" s="79">
        <f t="shared" si="286"/>
        <v>-7500</v>
      </c>
      <c r="AS148" s="79">
        <f t="shared" si="286"/>
        <v>-167500</v>
      </c>
      <c r="AT148" s="79">
        <f t="shared" si="286"/>
        <v>-7500</v>
      </c>
      <c r="AU148" s="79">
        <f t="shared" si="286"/>
        <v>-7500</v>
      </c>
      <c r="AV148" s="79">
        <f t="shared" ref="AV148:BB148" si="287">-ROUND($C$80+$C$81+$C$82+$C$84,-4)/4 + IF(MONTH(AV90)=3,-$C$83)</f>
        <v>-7500</v>
      </c>
      <c r="AW148" s="79">
        <f t="shared" si="287"/>
        <v>-167500</v>
      </c>
      <c r="AX148" s="79">
        <f t="shared" si="287"/>
        <v>-7500</v>
      </c>
      <c r="AY148" s="79">
        <f t="shared" si="287"/>
        <v>-7500</v>
      </c>
      <c r="AZ148" s="79">
        <f t="shared" si="287"/>
        <v>-7500</v>
      </c>
      <c r="BA148" s="79">
        <f t="shared" si="287"/>
        <v>-167500</v>
      </c>
      <c r="BB148" s="79">
        <f t="shared" si="287"/>
        <v>-7500</v>
      </c>
      <c r="BD148" s="506" t="s">
        <v>226</v>
      </c>
      <c r="BE148" s="507">
        <f t="shared" si="259"/>
        <v>-190000</v>
      </c>
      <c r="BF148" s="507">
        <f t="shared" si="259"/>
        <v>-190000</v>
      </c>
      <c r="BG148" s="507">
        <f t="shared" si="259"/>
        <v>-190000</v>
      </c>
      <c r="BH148" s="507">
        <f t="shared" si="259"/>
        <v>-190000</v>
      </c>
      <c r="BI148" s="507">
        <f t="shared" si="259"/>
        <v>-190000</v>
      </c>
      <c r="BJ148" s="507">
        <f t="shared" si="259"/>
        <v>-190000</v>
      </c>
      <c r="BK148" s="507">
        <f t="shared" si="259"/>
        <v>-190000</v>
      </c>
      <c r="BL148" s="507">
        <f t="shared" si="259"/>
        <v>-190000</v>
      </c>
      <c r="BM148" s="507">
        <f t="shared" si="259"/>
        <v>-190000</v>
      </c>
      <c r="BN148" s="507">
        <f t="shared" si="259"/>
        <v>-190000</v>
      </c>
    </row>
    <row r="149" spans="1:74" s="83" customFormat="1" ht="15.6">
      <c r="A149" s="5"/>
      <c r="B149" s="68" t="s">
        <v>116</v>
      </c>
      <c r="C149" s="69"/>
      <c r="D149" s="70"/>
      <c r="E149" s="157"/>
      <c r="F149" s="174">
        <f>SUM(F141,F144:F148)</f>
        <v>-4974829.2899999991</v>
      </c>
      <c r="G149" s="174">
        <f>SUM(G141,G144:G148)</f>
        <v>-3314233.7500000019</v>
      </c>
      <c r="H149" s="81">
        <f>SUM(H141,H144:H148)</f>
        <v>4280211.1443430325</v>
      </c>
      <c r="I149" s="81">
        <f>SUM(I141,I144:I148)</f>
        <v>8789609.4339272454</v>
      </c>
      <c r="J149" s="81">
        <f t="shared" ref="J149:AT149" si="288">SUM(J141,J144:J148)</f>
        <v>8962208.7060391847</v>
      </c>
      <c r="K149" s="81">
        <f t="shared" si="288"/>
        <v>7767939.6611534832</v>
      </c>
      <c r="L149" s="81">
        <f t="shared" si="288"/>
        <v>9192568.088805601</v>
      </c>
      <c r="M149" s="81">
        <f t="shared" si="288"/>
        <v>8975772.5368071105</v>
      </c>
      <c r="N149" s="81">
        <f t="shared" si="288"/>
        <v>9237799.369024206</v>
      </c>
      <c r="O149" s="81">
        <f t="shared" si="288"/>
        <v>7911176.8814436477</v>
      </c>
      <c r="P149" s="81">
        <f t="shared" si="288"/>
        <v>10865838.19927571</v>
      </c>
      <c r="Q149" s="81">
        <f t="shared" si="288"/>
        <v>10685219.236372618</v>
      </c>
      <c r="R149" s="81">
        <f t="shared" si="288"/>
        <v>10957328.201685697</v>
      </c>
      <c r="S149" s="81">
        <f t="shared" si="288"/>
        <v>9495531.7416146938</v>
      </c>
      <c r="T149" s="81">
        <f t="shared" si="288"/>
        <v>12030718.1749609</v>
      </c>
      <c r="U149" s="81">
        <f t="shared" si="288"/>
        <v>11849355.720513919</v>
      </c>
      <c r="V149" s="81">
        <f t="shared" si="288"/>
        <v>12132549.004726289</v>
      </c>
      <c r="W149" s="81">
        <f t="shared" si="288"/>
        <v>10521935.588729179</v>
      </c>
      <c r="X149" s="81">
        <f t="shared" si="288"/>
        <v>13315813.456002485</v>
      </c>
      <c r="Y149" s="81">
        <f t="shared" si="288"/>
        <v>13133699.08109455</v>
      </c>
      <c r="Z149" s="81">
        <f t="shared" si="288"/>
        <v>13429078.787214542</v>
      </c>
      <c r="AA149" s="81">
        <f t="shared" si="288"/>
        <v>11654634.854202762</v>
      </c>
      <c r="AB149" s="81">
        <f t="shared" si="288"/>
        <v>14733331.938325511</v>
      </c>
      <c r="AC149" s="81">
        <f t="shared" si="288"/>
        <v>14550459.667159714</v>
      </c>
      <c r="AD149" s="81">
        <f t="shared" si="288"/>
        <v>14859237.792052403</v>
      </c>
      <c r="AE149" s="81">
        <f t="shared" si="288"/>
        <v>12904441.831553742</v>
      </c>
      <c r="AF149" s="81">
        <f t="shared" si="288"/>
        <v>16296711.625716971</v>
      </c>
      <c r="AG149" s="81">
        <f t="shared" si="288"/>
        <v>16113078.345729165</v>
      </c>
      <c r="AH149" s="81">
        <f t="shared" si="288"/>
        <v>16436587.753679879</v>
      </c>
      <c r="AI149" s="81">
        <f t="shared" si="288"/>
        <v>14110398.010430966</v>
      </c>
      <c r="AJ149" s="81">
        <f t="shared" si="288"/>
        <v>17752236.610259164</v>
      </c>
      <c r="AK149" s="81">
        <f t="shared" si="288"/>
        <v>17416632.161181547</v>
      </c>
      <c r="AL149" s="81">
        <f t="shared" si="288"/>
        <v>22344363.350177683</v>
      </c>
      <c r="AM149" s="81">
        <f t="shared" si="288"/>
        <v>19467837.061345816</v>
      </c>
      <c r="AN149" s="81">
        <f t="shared" si="288"/>
        <v>24464577.291350808</v>
      </c>
      <c r="AO149" s="81">
        <f t="shared" si="288"/>
        <v>24281533.688933834</v>
      </c>
      <c r="AP149" s="81">
        <f t="shared" si="288"/>
        <v>24679212.67631596</v>
      </c>
      <c r="AQ149" s="81">
        <f t="shared" si="288"/>
        <v>21511667.808576673</v>
      </c>
      <c r="AR149" s="81">
        <f t="shared" si="288"/>
        <v>27014683.998842027</v>
      </c>
      <c r="AS149" s="81">
        <f t="shared" si="288"/>
        <v>26831102.824636616</v>
      </c>
      <c r="AT149" s="81">
        <f t="shared" si="288"/>
        <v>27252380.084624086</v>
      </c>
      <c r="AU149" s="81">
        <f t="shared" ref="AU149:BB149" si="289">SUM(AU141,AU144:AU148)</f>
        <v>23764546.48258543</v>
      </c>
      <c r="AV149" s="81">
        <f t="shared" si="289"/>
        <v>29824796.326000176</v>
      </c>
      <c r="AW149" s="81">
        <f t="shared" si="289"/>
        <v>29640712.162250143</v>
      </c>
      <c r="AX149" s="81">
        <f t="shared" si="289"/>
        <v>30087939.040796857</v>
      </c>
      <c r="AY149" s="81">
        <f t="shared" si="289"/>
        <v>26247611.118652619</v>
      </c>
      <c r="AZ149" s="81">
        <f t="shared" si="289"/>
        <v>32910523.78898995</v>
      </c>
      <c r="BA149" s="81">
        <f t="shared" si="289"/>
        <v>32729671.5002078</v>
      </c>
      <c r="BB149" s="81">
        <f t="shared" si="289"/>
        <v>33206675.607296281</v>
      </c>
      <c r="BD149" s="508" t="s">
        <v>116</v>
      </c>
      <c r="BE149" s="509">
        <f t="shared" si="259"/>
        <v>34898488.992805377</v>
      </c>
      <c r="BF149" s="509">
        <f t="shared" si="259"/>
        <v>38700033.686116181</v>
      </c>
      <c r="BG149" s="509">
        <f t="shared" si="259"/>
        <v>44332933.83877521</v>
      </c>
      <c r="BH149" s="509">
        <f t="shared" si="259"/>
        <v>49103997.1305525</v>
      </c>
      <c r="BI149" s="509">
        <f t="shared" si="259"/>
        <v>54367505.246902525</v>
      </c>
      <c r="BJ149" s="509">
        <f t="shared" si="259"/>
        <v>60173469.59505228</v>
      </c>
      <c r="BK149" s="509">
        <f t="shared" si="259"/>
        <v>65715854.535551555</v>
      </c>
      <c r="BL149" s="509">
        <f t="shared" si="259"/>
        <v>90558311.391808137</v>
      </c>
      <c r="BM149" s="509">
        <f t="shared" si="259"/>
        <v>100036667.30837128</v>
      </c>
      <c r="BN149" s="509">
        <f>SUMIF($H$2:$BB$2,BN$2,$H149:$BB149)</f>
        <v>110482435.05545984</v>
      </c>
    </row>
    <row r="150" spans="1:74" s="88" customFormat="1" ht="5.4" customHeight="1">
      <c r="A150" s="5"/>
      <c r="B150" s="73"/>
      <c r="D150" s="74"/>
      <c r="E150" s="154"/>
      <c r="F150" s="170"/>
      <c r="G150" s="170"/>
      <c r="H150" s="484"/>
      <c r="I150" s="484"/>
      <c r="J150" s="484"/>
      <c r="K150" s="484"/>
      <c r="L150" s="484"/>
      <c r="M150" s="484"/>
      <c r="N150" s="484"/>
      <c r="O150" s="484"/>
      <c r="P150" s="484"/>
      <c r="Q150" s="484"/>
      <c r="R150" s="484"/>
      <c r="S150" s="484"/>
      <c r="T150" s="484"/>
      <c r="U150" s="484"/>
      <c r="V150" s="484"/>
      <c r="W150" s="484"/>
      <c r="X150" s="484"/>
      <c r="Y150" s="484"/>
      <c r="Z150" s="484"/>
      <c r="AA150" s="484"/>
      <c r="AB150" s="484"/>
      <c r="AC150" s="484"/>
      <c r="AD150" s="484"/>
      <c r="AE150" s="484"/>
      <c r="AF150" s="484"/>
      <c r="AG150" s="484"/>
      <c r="AH150" s="484"/>
      <c r="AI150" s="484"/>
      <c r="AJ150" s="484"/>
      <c r="AK150" s="484"/>
      <c r="AL150" s="484"/>
      <c r="AM150" s="484"/>
      <c r="AN150" s="484"/>
      <c r="AO150" s="484"/>
      <c r="AP150" s="484"/>
      <c r="AQ150" s="484"/>
      <c r="AR150" s="484"/>
      <c r="AS150" s="484"/>
      <c r="AT150" s="484"/>
      <c r="AU150" s="484"/>
      <c r="AV150" s="484"/>
      <c r="AW150" s="484"/>
      <c r="AX150" s="484"/>
      <c r="AY150" s="484"/>
      <c r="AZ150" s="484"/>
      <c r="BA150" s="484"/>
      <c r="BB150" s="484"/>
      <c r="BD150" s="500"/>
      <c r="BE150" s="501"/>
      <c r="BF150" s="501"/>
      <c r="BG150" s="501"/>
      <c r="BH150" s="501"/>
      <c r="BI150" s="501"/>
      <c r="BJ150" s="501"/>
      <c r="BK150" s="501"/>
      <c r="BL150" s="501"/>
      <c r="BM150" s="501"/>
      <c r="BN150" s="501"/>
    </row>
    <row r="151" spans="1:74">
      <c r="B151" s="65" t="s">
        <v>117</v>
      </c>
      <c r="C151" s="62"/>
      <c r="D151" s="62"/>
      <c r="E151" s="156"/>
      <c r="F151" s="171">
        <v>-30630000</v>
      </c>
      <c r="G151" s="171">
        <f>-765750*2</f>
        <v>-1531500</v>
      </c>
      <c r="H151" s="79">
        <f>-765750*3</f>
        <v>-2297250</v>
      </c>
      <c r="I151" s="79">
        <f>-765750*3</f>
        <v>-2297250</v>
      </c>
      <c r="J151" s="79">
        <f t="shared" ref="J151:BB151" si="290">-765750*3</f>
        <v>-2297250</v>
      </c>
      <c r="K151" s="79">
        <f t="shared" si="290"/>
        <v>-2297250</v>
      </c>
      <c r="L151" s="79">
        <f t="shared" si="290"/>
        <v>-2297250</v>
      </c>
      <c r="M151" s="79">
        <f t="shared" si="290"/>
        <v>-2297250</v>
      </c>
      <c r="N151" s="79">
        <f t="shared" si="290"/>
        <v>-2297250</v>
      </c>
      <c r="O151" s="79">
        <f t="shared" si="290"/>
        <v>-2297250</v>
      </c>
      <c r="P151" s="79">
        <f t="shared" si="290"/>
        <v>-2297250</v>
      </c>
      <c r="Q151" s="79">
        <f t="shared" si="290"/>
        <v>-2297250</v>
      </c>
      <c r="R151" s="79">
        <f t="shared" si="290"/>
        <v>-2297250</v>
      </c>
      <c r="S151" s="79">
        <f t="shared" si="290"/>
        <v>-2297250</v>
      </c>
      <c r="T151" s="79">
        <f t="shared" si="290"/>
        <v>-2297250</v>
      </c>
      <c r="U151" s="79">
        <f t="shared" si="290"/>
        <v>-2297250</v>
      </c>
      <c r="V151" s="79">
        <f t="shared" si="290"/>
        <v>-2297250</v>
      </c>
      <c r="W151" s="79">
        <f t="shared" si="290"/>
        <v>-2297250</v>
      </c>
      <c r="X151" s="79">
        <f t="shared" si="290"/>
        <v>-2297250</v>
      </c>
      <c r="Y151" s="79">
        <f t="shared" si="290"/>
        <v>-2297250</v>
      </c>
      <c r="Z151" s="79">
        <f t="shared" si="290"/>
        <v>-2297250</v>
      </c>
      <c r="AA151" s="79">
        <f t="shared" si="290"/>
        <v>-2297250</v>
      </c>
      <c r="AB151" s="79">
        <f t="shared" si="290"/>
        <v>-2297250</v>
      </c>
      <c r="AC151" s="79">
        <f t="shared" si="290"/>
        <v>-2297250</v>
      </c>
      <c r="AD151" s="79">
        <f t="shared" si="290"/>
        <v>-2297250</v>
      </c>
      <c r="AE151" s="79">
        <f t="shared" si="290"/>
        <v>-2297250</v>
      </c>
      <c r="AF151" s="79">
        <f t="shared" si="290"/>
        <v>-2297250</v>
      </c>
      <c r="AG151" s="79">
        <f t="shared" si="290"/>
        <v>-2297250</v>
      </c>
      <c r="AH151" s="79">
        <f t="shared" si="290"/>
        <v>-2297250</v>
      </c>
      <c r="AI151" s="79">
        <f t="shared" si="290"/>
        <v>-2297250</v>
      </c>
      <c r="AJ151" s="79">
        <f t="shared" si="290"/>
        <v>-2297250</v>
      </c>
      <c r="AK151" s="79">
        <f t="shared" si="290"/>
        <v>-2297250</v>
      </c>
      <c r="AL151" s="79">
        <f t="shared" si="290"/>
        <v>-2297250</v>
      </c>
      <c r="AM151" s="79">
        <f t="shared" si="290"/>
        <v>-2297250</v>
      </c>
      <c r="AN151" s="79">
        <f t="shared" si="290"/>
        <v>-2297250</v>
      </c>
      <c r="AO151" s="79">
        <f t="shared" si="290"/>
        <v>-2297250</v>
      </c>
      <c r="AP151" s="79">
        <f t="shared" si="290"/>
        <v>-2297250</v>
      </c>
      <c r="AQ151" s="79">
        <f t="shared" si="290"/>
        <v>-2297250</v>
      </c>
      <c r="AR151" s="79">
        <f t="shared" si="290"/>
        <v>-2297250</v>
      </c>
      <c r="AS151" s="79">
        <f t="shared" si="290"/>
        <v>-2297250</v>
      </c>
      <c r="AT151" s="79">
        <f t="shared" si="290"/>
        <v>-2297250</v>
      </c>
      <c r="AU151" s="79">
        <f t="shared" si="290"/>
        <v>-2297250</v>
      </c>
      <c r="AV151" s="79">
        <f t="shared" si="290"/>
        <v>-2297250</v>
      </c>
      <c r="AW151" s="79">
        <f t="shared" si="290"/>
        <v>-2297250</v>
      </c>
      <c r="AX151" s="79">
        <f t="shared" si="290"/>
        <v>-2297250</v>
      </c>
      <c r="AY151" s="79">
        <f t="shared" si="290"/>
        <v>-2297250</v>
      </c>
      <c r="AZ151" s="79">
        <f t="shared" si="290"/>
        <v>-2297250</v>
      </c>
      <c r="BA151" s="79">
        <f t="shared" si="290"/>
        <v>-2297250</v>
      </c>
      <c r="BB151" s="79">
        <f t="shared" si="290"/>
        <v>-2297250</v>
      </c>
      <c r="BD151" s="506" t="s">
        <v>117</v>
      </c>
      <c r="BE151" s="507">
        <f>SUMIF($H$2:$BB$2,BE$2,$H151:$BB151)</f>
        <v>-9189000</v>
      </c>
      <c r="BF151" s="507">
        <f t="shared" si="259"/>
        <v>-9189000</v>
      </c>
      <c r="BG151" s="507">
        <f t="shared" si="259"/>
        <v>-9189000</v>
      </c>
      <c r="BH151" s="507">
        <f t="shared" si="259"/>
        <v>-9189000</v>
      </c>
      <c r="BI151" s="507">
        <f t="shared" si="259"/>
        <v>-9189000</v>
      </c>
      <c r="BJ151" s="507">
        <f t="shared" si="259"/>
        <v>-9189000</v>
      </c>
      <c r="BK151" s="507">
        <f t="shared" si="259"/>
        <v>-9189000</v>
      </c>
      <c r="BL151" s="507">
        <f t="shared" si="259"/>
        <v>-9189000</v>
      </c>
      <c r="BM151" s="507">
        <f t="shared" si="259"/>
        <v>-9189000</v>
      </c>
      <c r="BN151" s="507">
        <f>SUMIF($H$2:$BB$2,BN$2,$H151:$BB151)</f>
        <v>-9189000</v>
      </c>
    </row>
    <row r="152" spans="1:74" ht="15.6" hidden="1" outlineLevel="2">
      <c r="B152" s="112" t="s">
        <v>121</v>
      </c>
      <c r="C152" s="76"/>
      <c r="D152" s="76"/>
      <c r="E152" s="104">
        <v>306300000</v>
      </c>
      <c r="F152" s="184">
        <f>E152+F151</f>
        <v>275670000</v>
      </c>
      <c r="G152" s="184">
        <f>F152+G151</f>
        <v>274138500</v>
      </c>
      <c r="H152" s="487">
        <f>G152+H151</f>
        <v>271841250</v>
      </c>
      <c r="I152" s="487">
        <f>H152+I151</f>
        <v>269544000</v>
      </c>
      <c r="J152" s="487">
        <f t="shared" ref="J152:AD152" si="291">I152+J151</f>
        <v>267246750</v>
      </c>
      <c r="K152" s="487">
        <f t="shared" si="291"/>
        <v>264949500</v>
      </c>
      <c r="L152" s="487">
        <f t="shared" si="291"/>
        <v>262652250</v>
      </c>
      <c r="M152" s="487">
        <f t="shared" si="291"/>
        <v>260355000</v>
      </c>
      <c r="N152" s="487">
        <f t="shared" si="291"/>
        <v>258057750</v>
      </c>
      <c r="O152" s="487">
        <f>N152+O151</f>
        <v>255760500</v>
      </c>
      <c r="P152" s="487">
        <f t="shared" si="291"/>
        <v>253463250</v>
      </c>
      <c r="Q152" s="487">
        <f t="shared" si="291"/>
        <v>251166000</v>
      </c>
      <c r="R152" s="487">
        <f t="shared" si="291"/>
        <v>248868750</v>
      </c>
      <c r="S152" s="487">
        <f t="shared" si="291"/>
        <v>246571500</v>
      </c>
      <c r="T152" s="487">
        <f t="shared" si="291"/>
        <v>244274250</v>
      </c>
      <c r="U152" s="487">
        <f t="shared" si="291"/>
        <v>241977000</v>
      </c>
      <c r="V152" s="487">
        <f t="shared" si="291"/>
        <v>239679750</v>
      </c>
      <c r="W152" s="487">
        <f t="shared" si="291"/>
        <v>237382500</v>
      </c>
      <c r="X152" s="487">
        <f t="shared" si="291"/>
        <v>235085250</v>
      </c>
      <c r="Y152" s="487">
        <f t="shared" si="291"/>
        <v>232788000</v>
      </c>
      <c r="Z152" s="487">
        <f t="shared" si="291"/>
        <v>230490750</v>
      </c>
      <c r="AA152" s="487">
        <f t="shared" si="291"/>
        <v>228193500</v>
      </c>
      <c r="AB152" s="487">
        <f t="shared" si="291"/>
        <v>225896250</v>
      </c>
      <c r="AC152" s="487">
        <f t="shared" si="291"/>
        <v>223599000</v>
      </c>
      <c r="AD152" s="487">
        <f t="shared" si="291"/>
        <v>221301750</v>
      </c>
      <c r="AE152" s="487">
        <f t="shared" ref="AE152" si="292">AD152+AE151</f>
        <v>219004500</v>
      </c>
      <c r="AF152" s="487">
        <f t="shared" ref="AF152" si="293">AE152+AF151</f>
        <v>216707250</v>
      </c>
      <c r="AG152" s="487">
        <f t="shared" ref="AG152" si="294">AF152+AG151</f>
        <v>214410000</v>
      </c>
      <c r="AH152" s="487">
        <f t="shared" ref="AH152" si="295">AG152+AH151</f>
        <v>212112750</v>
      </c>
      <c r="AI152" s="487">
        <f t="shared" ref="AI152" si="296">AH152+AI151</f>
        <v>209815500</v>
      </c>
      <c r="AJ152" s="487">
        <f t="shared" ref="AJ152" si="297">AI152+AJ151</f>
        <v>207518250</v>
      </c>
      <c r="AK152" s="487">
        <f t="shared" ref="AK152" si="298">AJ152+AK151</f>
        <v>205221000</v>
      </c>
      <c r="AL152" s="487">
        <f t="shared" ref="AL152" si="299">AK152+AL151</f>
        <v>202923750</v>
      </c>
      <c r="AM152" s="487">
        <f t="shared" ref="AM152" si="300">AL152+AM151</f>
        <v>200626500</v>
      </c>
      <c r="AN152" s="487">
        <f t="shared" ref="AN152" si="301">AM152+AN151</f>
        <v>198329250</v>
      </c>
      <c r="AO152" s="487">
        <f t="shared" ref="AO152" si="302">AN152+AO151</f>
        <v>196032000</v>
      </c>
      <c r="AP152" s="487">
        <f t="shared" ref="AP152" si="303">AO152+AP151</f>
        <v>193734750</v>
      </c>
      <c r="AQ152" s="487">
        <f t="shared" ref="AQ152" si="304">AP152+AQ151</f>
        <v>191437500</v>
      </c>
      <c r="AR152" s="487">
        <f t="shared" ref="AR152" si="305">AQ152+AR151</f>
        <v>189140250</v>
      </c>
      <c r="AS152" s="487">
        <f t="shared" ref="AS152" si="306">AR152+AS151</f>
        <v>186843000</v>
      </c>
      <c r="AT152" s="487">
        <f t="shared" ref="AT152:AU152" si="307">AS152+AT151</f>
        <v>184545750</v>
      </c>
      <c r="AU152" s="487">
        <f t="shared" si="307"/>
        <v>182248500</v>
      </c>
      <c r="AV152" s="487">
        <f t="shared" ref="AV152" si="308">AU152+AV151</f>
        <v>179951250</v>
      </c>
      <c r="AW152" s="487">
        <f t="shared" ref="AW152" si="309">AV152+AW151</f>
        <v>177654000</v>
      </c>
      <c r="AX152" s="487">
        <f t="shared" ref="AX152" si="310">AW152+AX151</f>
        <v>175356750</v>
      </c>
      <c r="AY152" s="487">
        <f t="shared" ref="AY152" si="311">AX152+AY151</f>
        <v>173059500</v>
      </c>
      <c r="AZ152" s="487">
        <f t="shared" ref="AZ152" si="312">AY152+AZ151</f>
        <v>170762250</v>
      </c>
      <c r="BA152" s="487">
        <f t="shared" ref="BA152" si="313">AZ152+BA151</f>
        <v>168465000</v>
      </c>
      <c r="BB152" s="487">
        <f t="shared" ref="BB152" si="314">BA152+BB151</f>
        <v>166167750</v>
      </c>
      <c r="BD152" s="504" t="s">
        <v>121</v>
      </c>
      <c r="BE152" s="505">
        <f t="shared" si="259"/>
        <v>1055203500</v>
      </c>
      <c r="BF152" s="505">
        <f t="shared" si="259"/>
        <v>1018447500</v>
      </c>
      <c r="BG152" s="505">
        <f t="shared" si="259"/>
        <v>981691500</v>
      </c>
      <c r="BH152" s="505">
        <f t="shared" si="259"/>
        <v>944935500</v>
      </c>
      <c r="BI152" s="505">
        <f t="shared" si="259"/>
        <v>908179500</v>
      </c>
      <c r="BJ152" s="505">
        <f t="shared" si="259"/>
        <v>871423500</v>
      </c>
      <c r="BK152" s="505">
        <f t="shared" si="259"/>
        <v>834667500</v>
      </c>
      <c r="BL152" s="505">
        <f t="shared" si="259"/>
        <v>797911500</v>
      </c>
      <c r="BM152" s="505">
        <f t="shared" si="259"/>
        <v>761155500</v>
      </c>
      <c r="BN152" s="505">
        <f t="shared" si="259"/>
        <v>724399500</v>
      </c>
    </row>
    <row r="153" spans="1:74" ht="15.6" collapsed="1">
      <c r="B153" s="65" t="s">
        <v>157</v>
      </c>
      <c r="C153" s="85"/>
      <c r="D153" s="86"/>
      <c r="E153" s="159"/>
      <c r="F153" s="172">
        <f>SUM('Отчетность АО9 2024'!F9:H9)</f>
        <v>-8000000</v>
      </c>
      <c r="G153" s="172">
        <f>SUM('Отчетность АО9 2024'!I9:K9)</f>
        <v>-11248775.949999999</v>
      </c>
      <c r="H153" s="480">
        <f>-SUM(G77:G79)</f>
        <v>-10201458.153654372</v>
      </c>
      <c r="I153" s="480">
        <f>-SUM(G80:G82)</f>
        <v>0</v>
      </c>
      <c r="J153" s="480">
        <f>-SUM(G83:G85)</f>
        <v>0</v>
      </c>
      <c r="K153" s="96">
        <v>0</v>
      </c>
      <c r="L153" s="96">
        <v>0</v>
      </c>
      <c r="M153" s="96">
        <v>0</v>
      </c>
      <c r="N153" s="96">
        <v>0</v>
      </c>
      <c r="O153" s="96">
        <v>0</v>
      </c>
      <c r="P153" s="96">
        <v>0</v>
      </c>
      <c r="Q153" s="96">
        <v>0</v>
      </c>
      <c r="R153" s="96">
        <v>0</v>
      </c>
      <c r="S153" s="96">
        <v>0</v>
      </c>
      <c r="T153" s="96">
        <v>0</v>
      </c>
      <c r="U153" s="96">
        <v>0</v>
      </c>
      <c r="V153" s="96">
        <v>0</v>
      </c>
      <c r="W153" s="96">
        <v>0</v>
      </c>
      <c r="X153" s="96">
        <v>0</v>
      </c>
      <c r="Y153" s="96">
        <v>0</v>
      </c>
      <c r="Z153" s="96">
        <v>0</v>
      </c>
      <c r="AA153" s="96">
        <v>0</v>
      </c>
      <c r="AB153" s="96">
        <v>0</v>
      </c>
      <c r="AC153" s="96">
        <v>0</v>
      </c>
      <c r="AD153" s="96">
        <v>0</v>
      </c>
      <c r="AE153" s="96">
        <v>0</v>
      </c>
      <c r="AF153" s="96">
        <v>0</v>
      </c>
      <c r="AG153" s="96">
        <v>0</v>
      </c>
      <c r="AH153" s="96">
        <v>0</v>
      </c>
      <c r="AI153" s="96">
        <v>0</v>
      </c>
      <c r="AJ153" s="96">
        <v>0</v>
      </c>
      <c r="AK153" s="96">
        <v>0</v>
      </c>
      <c r="AL153" s="96">
        <v>0</v>
      </c>
      <c r="AM153" s="96">
        <v>0</v>
      </c>
      <c r="AN153" s="96">
        <v>0</v>
      </c>
      <c r="AO153" s="96">
        <v>0</v>
      </c>
      <c r="AP153" s="96">
        <v>0</v>
      </c>
      <c r="AQ153" s="96">
        <v>0</v>
      </c>
      <c r="AR153" s="96">
        <v>0</v>
      </c>
      <c r="AS153" s="96">
        <v>0</v>
      </c>
      <c r="AT153" s="96">
        <v>0</v>
      </c>
      <c r="AU153" s="96">
        <v>0</v>
      </c>
      <c r="AV153" s="96">
        <v>0</v>
      </c>
      <c r="AW153" s="96">
        <v>0</v>
      </c>
      <c r="AX153" s="96">
        <v>0</v>
      </c>
      <c r="AY153" s="96">
        <v>0</v>
      </c>
      <c r="AZ153" s="96">
        <v>0</v>
      </c>
      <c r="BA153" s="96">
        <v>0</v>
      </c>
      <c r="BB153" s="96">
        <v>0</v>
      </c>
      <c r="BD153" s="510" t="s">
        <v>157</v>
      </c>
      <c r="BE153" s="511">
        <f>SUMIF($H$2:$BB$2,BE$2,$H153:$BB153)</f>
        <v>0</v>
      </c>
      <c r="BF153" s="511">
        <f t="shared" si="259"/>
        <v>0</v>
      </c>
      <c r="BG153" s="511">
        <f t="shared" si="259"/>
        <v>0</v>
      </c>
      <c r="BH153" s="511">
        <f t="shared" si="259"/>
        <v>0</v>
      </c>
      <c r="BI153" s="511">
        <f t="shared" si="259"/>
        <v>0</v>
      </c>
      <c r="BJ153" s="511">
        <f t="shared" si="259"/>
        <v>0</v>
      </c>
      <c r="BK153" s="511">
        <f t="shared" si="259"/>
        <v>0</v>
      </c>
      <c r="BL153" s="511">
        <f t="shared" si="259"/>
        <v>0</v>
      </c>
      <c r="BM153" s="511">
        <f t="shared" si="259"/>
        <v>0</v>
      </c>
      <c r="BN153" s="511">
        <f>SUMIF($H$2:$BB$2,BN$2,$H153:$BB153)</f>
        <v>0</v>
      </c>
    </row>
    <row r="154" spans="1:74" s="83" customFormat="1" ht="15.6">
      <c r="A154" s="5"/>
      <c r="B154" s="68" t="s">
        <v>26</v>
      </c>
      <c r="C154" s="69"/>
      <c r="D154" s="70"/>
      <c r="E154" s="157"/>
      <c r="F154" s="174">
        <f>F149+F151+F153</f>
        <v>-43604829.289999999</v>
      </c>
      <c r="G154" s="174">
        <f>G149+G151+G153</f>
        <v>-16094509.700000001</v>
      </c>
      <c r="H154" s="81">
        <f>H149+H151+H153</f>
        <v>-8218497.0093113398</v>
      </c>
      <c r="I154" s="81">
        <f>I149+I151+I153</f>
        <v>6492359.4339272454</v>
      </c>
      <c r="J154" s="81">
        <f>J149+J151+J153</f>
        <v>6664958.7060391847</v>
      </c>
      <c r="K154" s="81">
        <f t="shared" ref="K154:AD154" si="315">K149+K151+K153</f>
        <v>5470689.6611534832</v>
      </c>
      <c r="L154" s="81">
        <f t="shared" si="315"/>
        <v>6895318.088805601</v>
      </c>
      <c r="M154" s="81">
        <f t="shared" si="315"/>
        <v>6678522.5368071105</v>
      </c>
      <c r="N154" s="81">
        <f t="shared" si="315"/>
        <v>6940549.369024206</v>
      </c>
      <c r="O154" s="81">
        <f t="shared" si="315"/>
        <v>5613926.8814436477</v>
      </c>
      <c r="P154" s="81">
        <f t="shared" si="315"/>
        <v>8568588.1992757097</v>
      </c>
      <c r="Q154" s="81">
        <f t="shared" si="315"/>
        <v>8387969.236372618</v>
      </c>
      <c r="R154" s="81">
        <f t="shared" si="315"/>
        <v>8660078.2016856968</v>
      </c>
      <c r="S154" s="81">
        <f t="shared" si="315"/>
        <v>7198281.7416146938</v>
      </c>
      <c r="T154" s="81">
        <f t="shared" si="315"/>
        <v>9733468.1749609001</v>
      </c>
      <c r="U154" s="81">
        <f t="shared" si="315"/>
        <v>9552105.7205139194</v>
      </c>
      <c r="V154" s="81">
        <f t="shared" si="315"/>
        <v>9835299.0047262888</v>
      </c>
      <c r="W154" s="81">
        <f t="shared" si="315"/>
        <v>8224685.5887291785</v>
      </c>
      <c r="X154" s="81">
        <f t="shared" si="315"/>
        <v>11018563.456002485</v>
      </c>
      <c r="Y154" s="81">
        <f t="shared" si="315"/>
        <v>10836449.08109455</v>
      </c>
      <c r="Z154" s="81">
        <f t="shared" si="315"/>
        <v>11131828.787214542</v>
      </c>
      <c r="AA154" s="81">
        <f t="shared" si="315"/>
        <v>9357384.8542027622</v>
      </c>
      <c r="AB154" s="81">
        <f t="shared" si="315"/>
        <v>12436081.938325511</v>
      </c>
      <c r="AC154" s="81">
        <f t="shared" si="315"/>
        <v>12253209.667159714</v>
      </c>
      <c r="AD154" s="81">
        <f t="shared" si="315"/>
        <v>12561987.792052403</v>
      </c>
      <c r="AE154" s="81">
        <f t="shared" ref="AE154:AT154" si="316">AE149+AE151+AE153</f>
        <v>10607191.831553742</v>
      </c>
      <c r="AF154" s="81">
        <f t="shared" si="316"/>
        <v>13999461.625716971</v>
      </c>
      <c r="AG154" s="81">
        <f t="shared" si="316"/>
        <v>13815828.345729165</v>
      </c>
      <c r="AH154" s="81">
        <f t="shared" si="316"/>
        <v>14139337.753679879</v>
      </c>
      <c r="AI154" s="81">
        <f t="shared" si="316"/>
        <v>11813148.010430966</v>
      </c>
      <c r="AJ154" s="81">
        <f t="shared" si="316"/>
        <v>15454986.610259164</v>
      </c>
      <c r="AK154" s="81">
        <f t="shared" si="316"/>
        <v>15119382.161181547</v>
      </c>
      <c r="AL154" s="81">
        <f t="shared" si="316"/>
        <v>20047113.350177683</v>
      </c>
      <c r="AM154" s="81">
        <f t="shared" si="316"/>
        <v>17170587.061345816</v>
      </c>
      <c r="AN154" s="81">
        <f t="shared" si="316"/>
        <v>22167327.291350808</v>
      </c>
      <c r="AO154" s="81">
        <f t="shared" si="316"/>
        <v>21984283.688933834</v>
      </c>
      <c r="AP154" s="81">
        <f t="shared" si="316"/>
        <v>22381962.67631596</v>
      </c>
      <c r="AQ154" s="81">
        <f t="shared" si="316"/>
        <v>19214417.808576673</v>
      </c>
      <c r="AR154" s="81">
        <f t="shared" si="316"/>
        <v>24717433.998842027</v>
      </c>
      <c r="AS154" s="81">
        <f t="shared" si="316"/>
        <v>24533852.824636616</v>
      </c>
      <c r="AT154" s="81">
        <f t="shared" si="316"/>
        <v>24955130.084624086</v>
      </c>
      <c r="AU154" s="81">
        <f t="shared" ref="AU154:BB154" si="317">AU149+AU151+AU153</f>
        <v>21467296.48258543</v>
      </c>
      <c r="AV154" s="81">
        <f t="shared" si="317"/>
        <v>27527546.326000176</v>
      </c>
      <c r="AW154" s="81">
        <f t="shared" si="317"/>
        <v>27343462.162250143</v>
      </c>
      <c r="AX154" s="81">
        <f t="shared" si="317"/>
        <v>27790689.040796857</v>
      </c>
      <c r="AY154" s="81">
        <f t="shared" si="317"/>
        <v>23950361.118652619</v>
      </c>
      <c r="AZ154" s="81">
        <f t="shared" si="317"/>
        <v>30613273.78898995</v>
      </c>
      <c r="BA154" s="81">
        <f t="shared" si="317"/>
        <v>30432421.5002078</v>
      </c>
      <c r="BB154" s="81">
        <f t="shared" si="317"/>
        <v>30909425.607296281</v>
      </c>
      <c r="BD154" s="508" t="s">
        <v>26</v>
      </c>
      <c r="BE154" s="509">
        <f>SUMIF($H$2:$BB$2,BE$2,$H154:$BB154)</f>
        <v>25709488.992805377</v>
      </c>
      <c r="BF154" s="509">
        <f t="shared" si="259"/>
        <v>29511033.686116181</v>
      </c>
      <c r="BG154" s="509">
        <f t="shared" si="259"/>
        <v>35143933.83877521</v>
      </c>
      <c r="BH154" s="509">
        <f t="shared" si="259"/>
        <v>39914997.1305525</v>
      </c>
      <c r="BI154" s="509">
        <f t="shared" si="259"/>
        <v>45178505.246902525</v>
      </c>
      <c r="BJ154" s="509">
        <f t="shared" si="259"/>
        <v>50984469.59505228</v>
      </c>
      <c r="BK154" s="509">
        <f t="shared" si="259"/>
        <v>56526854.535551555</v>
      </c>
      <c r="BL154" s="509">
        <f t="shared" si="259"/>
        <v>81369311.391808137</v>
      </c>
      <c r="BM154" s="509">
        <f t="shared" si="259"/>
        <v>90847667.308371276</v>
      </c>
      <c r="BN154" s="509">
        <f t="shared" si="259"/>
        <v>101293435.05545984</v>
      </c>
    </row>
    <row r="155" spans="1:74" s="88" customFormat="1" ht="5.4" customHeight="1">
      <c r="A155" s="5"/>
      <c r="B155" s="73"/>
      <c r="D155" s="74"/>
      <c r="E155" s="154"/>
      <c r="F155" s="170"/>
      <c r="G155" s="175"/>
      <c r="H155" s="484"/>
      <c r="I155" s="484"/>
      <c r="J155" s="484"/>
      <c r="K155" s="484"/>
      <c r="L155" s="484"/>
      <c r="M155" s="484"/>
      <c r="N155" s="484"/>
      <c r="O155" s="484"/>
      <c r="P155" s="484"/>
      <c r="Q155" s="484"/>
      <c r="R155" s="484"/>
      <c r="S155" s="484"/>
      <c r="T155" s="484"/>
      <c r="U155" s="484"/>
      <c r="V155" s="484"/>
      <c r="W155" s="484"/>
      <c r="X155" s="484"/>
      <c r="Y155" s="484"/>
      <c r="Z155" s="484"/>
      <c r="AA155" s="484"/>
      <c r="AB155" s="484"/>
      <c r="AC155" s="484"/>
      <c r="AD155" s="484"/>
      <c r="AE155" s="484"/>
      <c r="AF155" s="484"/>
      <c r="AG155" s="484"/>
      <c r="AH155" s="484"/>
      <c r="AI155" s="484"/>
      <c r="AJ155" s="484"/>
      <c r="AK155" s="484"/>
      <c r="AL155" s="484"/>
      <c r="AM155" s="484"/>
      <c r="AN155" s="484"/>
      <c r="AO155" s="484"/>
      <c r="AP155" s="484"/>
      <c r="AQ155" s="484"/>
      <c r="AR155" s="484"/>
      <c r="AS155" s="484"/>
      <c r="AT155" s="484"/>
      <c r="AU155" s="484"/>
      <c r="AV155" s="484"/>
      <c r="AW155" s="484"/>
      <c r="AX155" s="484"/>
      <c r="AY155" s="484"/>
      <c r="AZ155" s="484"/>
      <c r="BA155" s="484"/>
      <c r="BB155" s="484"/>
      <c r="BD155" s="500"/>
      <c r="BE155" s="501"/>
      <c r="BF155" s="501"/>
      <c r="BG155" s="501"/>
      <c r="BH155" s="501"/>
      <c r="BI155" s="501"/>
      <c r="BJ155" s="501"/>
      <c r="BK155" s="501"/>
      <c r="BL155" s="501"/>
      <c r="BM155" s="501"/>
      <c r="BN155" s="501"/>
    </row>
    <row r="156" spans="1:74" ht="15.6" hidden="1" outlineLevel="2">
      <c r="B156" s="112" t="s">
        <v>129</v>
      </c>
      <c r="C156" s="76"/>
      <c r="D156" s="76"/>
      <c r="E156" s="103"/>
      <c r="F156" s="176">
        <v>0</v>
      </c>
      <c r="G156" s="208">
        <v>-73188901</v>
      </c>
      <c r="H156" s="481">
        <f>G156+G157+IF(H154&lt;0,H154,0)</f>
        <v>-81407398.009311333</v>
      </c>
      <c r="I156" s="481">
        <f>H156+H157+IF(I154&lt;0,I154,0)</f>
        <v>-81407398.009311333</v>
      </c>
      <c r="J156" s="481">
        <f>I156+I157+IF(J154&lt;0,J154,0)</f>
        <v>-78161218.292347714</v>
      </c>
      <c r="K156" s="481">
        <f t="shared" ref="K156:AD156" si="318">J156+J157+IF(K154&lt;0,K154,0)</f>
        <v>-74828738.939328119</v>
      </c>
      <c r="L156" s="481">
        <f t="shared" si="318"/>
        <v>-72093394.108751372</v>
      </c>
      <c r="M156" s="481">
        <f t="shared" si="318"/>
        <v>-68645735.064348578</v>
      </c>
      <c r="N156" s="481">
        <f t="shared" si="318"/>
        <v>-65306473.795945026</v>
      </c>
      <c r="O156" s="481">
        <f t="shared" si="318"/>
        <v>-61836199.111432925</v>
      </c>
      <c r="P156" s="481">
        <f t="shared" si="318"/>
        <v>-59029235.6707111</v>
      </c>
      <c r="Q156" s="481">
        <f t="shared" si="318"/>
        <v>-54744941.571073249</v>
      </c>
      <c r="R156" s="481">
        <f t="shared" si="318"/>
        <v>-50550956.952886939</v>
      </c>
      <c r="S156" s="481">
        <f t="shared" si="318"/>
        <v>-46220917.852044091</v>
      </c>
      <c r="T156" s="481">
        <f t="shared" si="318"/>
        <v>-42621776.981236741</v>
      </c>
      <c r="U156" s="481">
        <f t="shared" si="318"/>
        <v>-37755042.893756293</v>
      </c>
      <c r="V156" s="481">
        <f t="shared" si="318"/>
        <v>-32978990.033499334</v>
      </c>
      <c r="W156" s="481">
        <f t="shared" si="318"/>
        <v>-28061340.531136189</v>
      </c>
      <c r="X156" s="481">
        <f t="shared" si="318"/>
        <v>-23948997.736771598</v>
      </c>
      <c r="Y156" s="481">
        <f t="shared" si="318"/>
        <v>-18439716.008770354</v>
      </c>
      <c r="Z156" s="481">
        <f t="shared" si="318"/>
        <v>-13021491.46822308</v>
      </c>
      <c r="AA156" s="481">
        <f t="shared" si="318"/>
        <v>-7455577.0746158091</v>
      </c>
      <c r="AB156" s="481">
        <f t="shared" si="318"/>
        <v>-2776884.647514428</v>
      </c>
      <c r="AC156" s="481">
        <f t="shared" si="318"/>
        <v>0</v>
      </c>
      <c r="AD156" s="481">
        <f t="shared" si="318"/>
        <v>0</v>
      </c>
      <c r="AE156" s="481">
        <f t="shared" ref="AE156" si="319">AD156+AD157+IF(AE154&lt;0,AE154,0)</f>
        <v>0</v>
      </c>
      <c r="AF156" s="481">
        <f t="shared" ref="AF156" si="320">AE156+AE157+IF(AF154&lt;0,AF154,0)</f>
        <v>0</v>
      </c>
      <c r="AG156" s="481">
        <f t="shared" ref="AG156" si="321">AF156+AF157+IF(AG154&lt;0,AG154,0)</f>
        <v>0</v>
      </c>
      <c r="AH156" s="481">
        <f t="shared" ref="AH156" si="322">AG156+AG157+IF(AH154&lt;0,AH154,0)</f>
        <v>0</v>
      </c>
      <c r="AI156" s="481">
        <f t="shared" ref="AI156" si="323">AH156+AH157+IF(AI154&lt;0,AI154,0)</f>
        <v>0</v>
      </c>
      <c r="AJ156" s="481">
        <f t="shared" ref="AJ156" si="324">AI156+AI157+IF(AJ154&lt;0,AJ154,0)</f>
        <v>0</v>
      </c>
      <c r="AK156" s="481">
        <f t="shared" ref="AK156" si="325">AJ156+AJ157+IF(AK154&lt;0,AK154,0)</f>
        <v>0</v>
      </c>
      <c r="AL156" s="481">
        <f t="shared" ref="AL156" si="326">AK156+AK157+IF(AL154&lt;0,AL154,0)</f>
        <v>0</v>
      </c>
      <c r="AM156" s="481">
        <f t="shared" ref="AM156" si="327">AL156+AL157+IF(AM154&lt;0,AM154,0)</f>
        <v>0</v>
      </c>
      <c r="AN156" s="481">
        <f t="shared" ref="AN156" si="328">AM156+AM157+IF(AN154&lt;0,AN154,0)</f>
        <v>0</v>
      </c>
      <c r="AO156" s="481">
        <f t="shared" ref="AO156" si="329">AN156+AN157+IF(AO154&lt;0,AO154,0)</f>
        <v>0</v>
      </c>
      <c r="AP156" s="481">
        <f t="shared" ref="AP156" si="330">AO156+AO157+IF(AP154&lt;0,AP154,0)</f>
        <v>0</v>
      </c>
      <c r="AQ156" s="481">
        <f t="shared" ref="AQ156" si="331">AP156+AP157+IF(AQ154&lt;0,AQ154,0)</f>
        <v>0</v>
      </c>
      <c r="AR156" s="481">
        <f t="shared" ref="AR156" si="332">AQ156+AQ157+IF(AR154&lt;0,AR154,0)</f>
        <v>0</v>
      </c>
      <c r="AS156" s="481">
        <f t="shared" ref="AS156" si="333">AR156+AR157+IF(AS154&lt;0,AS154,0)</f>
        <v>0</v>
      </c>
      <c r="AT156" s="481">
        <f t="shared" ref="AT156:AU156" si="334">AS156+AS157+IF(AT154&lt;0,AT154,0)</f>
        <v>0</v>
      </c>
      <c r="AU156" s="481">
        <f t="shared" si="334"/>
        <v>0</v>
      </c>
      <c r="AV156" s="481">
        <f t="shared" ref="AV156" si="335">AU156+AU157+IF(AV154&lt;0,AV154,0)</f>
        <v>0</v>
      </c>
      <c r="AW156" s="481">
        <f t="shared" ref="AW156" si="336">AV156+AV157+IF(AW154&lt;0,AW154,0)</f>
        <v>0</v>
      </c>
      <c r="AX156" s="481">
        <f t="shared" ref="AX156" si="337">AW156+AW157+IF(AX154&lt;0,AX154,0)</f>
        <v>0</v>
      </c>
      <c r="AY156" s="481">
        <f t="shared" ref="AY156" si="338">AX156+AX157+IF(AY154&lt;0,AY154,0)</f>
        <v>0</v>
      </c>
      <c r="AZ156" s="481">
        <f t="shared" ref="AZ156" si="339">AY156+AY157+IF(AZ154&lt;0,AZ154,0)</f>
        <v>0</v>
      </c>
      <c r="BA156" s="481">
        <f t="shared" ref="BA156" si="340">AZ156+AZ157+IF(BA154&lt;0,BA154,0)</f>
        <v>0</v>
      </c>
      <c r="BB156" s="481">
        <f t="shared" ref="BB156" si="341">BA156+BA157+IF(BB154&lt;0,BB154,0)</f>
        <v>0</v>
      </c>
      <c r="BD156" s="512" t="s">
        <v>129</v>
      </c>
      <c r="BE156" s="513"/>
      <c r="BF156" s="513"/>
      <c r="BG156" s="513"/>
      <c r="BH156" s="513"/>
      <c r="BI156" s="513"/>
      <c r="BJ156" s="513"/>
      <c r="BK156" s="513"/>
      <c r="BL156" s="513"/>
      <c r="BM156" s="513"/>
      <c r="BN156" s="513"/>
    </row>
    <row r="157" spans="1:74" ht="15.6" hidden="1" outlineLevel="2">
      <c r="B157" s="112" t="s">
        <v>158</v>
      </c>
      <c r="C157" s="76"/>
      <c r="D157" s="76"/>
      <c r="E157" s="103"/>
      <c r="F157" s="176">
        <v>0</v>
      </c>
      <c r="G157" s="176">
        <f>IF(G154&gt;0,IF(G156&lt;0,MIN(G154/2,-G156),MIN(G156,0)),0)</f>
        <v>0</v>
      </c>
      <c r="H157" s="481">
        <f>IF(H154&gt;0,IF(H156&lt;0,MIN(H154/2,-H156),MIN(H156,0)),0)</f>
        <v>0</v>
      </c>
      <c r="I157" s="481">
        <f>IF(I154&gt;0,IF(I156&lt;0,MIN(I154/2,-I156),MIN(I156,0)),0)</f>
        <v>3246179.7169636227</v>
      </c>
      <c r="J157" s="481">
        <f>IF(J154&gt;0,IF(J156&lt;0,MIN(J154/2,-J156),MIN(J156,0)),0)</f>
        <v>3332479.3530195924</v>
      </c>
      <c r="K157" s="481">
        <f t="shared" ref="K157:AD157" si="342">IF(K154&gt;0,IF(K156&lt;0,MIN(K154/2,-K156),MIN(K156,0)),0)</f>
        <v>2735344.8305767416</v>
      </c>
      <c r="L157" s="481">
        <f t="shared" si="342"/>
        <v>3447659.0444028005</v>
      </c>
      <c r="M157" s="481">
        <f t="shared" si="342"/>
        <v>3339261.2684035553</v>
      </c>
      <c r="N157" s="481">
        <f t="shared" si="342"/>
        <v>3470274.684512103</v>
      </c>
      <c r="O157" s="481">
        <f t="shared" si="342"/>
        <v>2806963.4407218238</v>
      </c>
      <c r="P157" s="481">
        <f t="shared" si="342"/>
        <v>4284294.0996378548</v>
      </c>
      <c r="Q157" s="481">
        <f t="shared" si="342"/>
        <v>4193984.618186309</v>
      </c>
      <c r="R157" s="481">
        <f t="shared" si="342"/>
        <v>4330039.1008428484</v>
      </c>
      <c r="S157" s="481">
        <f t="shared" si="342"/>
        <v>3599140.8708073469</v>
      </c>
      <c r="T157" s="481">
        <f t="shared" si="342"/>
        <v>4866734.08748045</v>
      </c>
      <c r="U157" s="481">
        <f t="shared" si="342"/>
        <v>4776052.8602569597</v>
      </c>
      <c r="V157" s="481">
        <f t="shared" si="342"/>
        <v>4917649.5023631444</v>
      </c>
      <c r="W157" s="481">
        <f t="shared" si="342"/>
        <v>4112342.7943645893</v>
      </c>
      <c r="X157" s="481">
        <f t="shared" si="342"/>
        <v>5509281.7280012425</v>
      </c>
      <c r="Y157" s="481">
        <f t="shared" si="342"/>
        <v>5418224.540547275</v>
      </c>
      <c r="Z157" s="481">
        <f t="shared" si="342"/>
        <v>5565914.3936072709</v>
      </c>
      <c r="AA157" s="481">
        <f t="shared" si="342"/>
        <v>4678692.4271013811</v>
      </c>
      <c r="AB157" s="481">
        <f t="shared" si="342"/>
        <v>2776884.647514428</v>
      </c>
      <c r="AC157" s="481">
        <f t="shared" si="342"/>
        <v>0</v>
      </c>
      <c r="AD157" s="481">
        <f t="shared" si="342"/>
        <v>0</v>
      </c>
      <c r="AE157" s="481">
        <f t="shared" ref="AE157:AT157" si="343">IF(AE154&gt;0,IF(AE156&lt;0,MIN(AE154/2,-AE156),MIN(AE156,0)),0)</f>
        <v>0</v>
      </c>
      <c r="AF157" s="481">
        <f t="shared" si="343"/>
        <v>0</v>
      </c>
      <c r="AG157" s="481">
        <f t="shared" si="343"/>
        <v>0</v>
      </c>
      <c r="AH157" s="481">
        <f t="shared" si="343"/>
        <v>0</v>
      </c>
      <c r="AI157" s="481">
        <f t="shared" si="343"/>
        <v>0</v>
      </c>
      <c r="AJ157" s="481">
        <f t="shared" si="343"/>
        <v>0</v>
      </c>
      <c r="AK157" s="481">
        <f t="shared" si="343"/>
        <v>0</v>
      </c>
      <c r="AL157" s="481">
        <f t="shared" si="343"/>
        <v>0</v>
      </c>
      <c r="AM157" s="481">
        <f t="shared" si="343"/>
        <v>0</v>
      </c>
      <c r="AN157" s="481">
        <f t="shared" si="343"/>
        <v>0</v>
      </c>
      <c r="AO157" s="481">
        <f t="shared" si="343"/>
        <v>0</v>
      </c>
      <c r="AP157" s="481">
        <f t="shared" si="343"/>
        <v>0</v>
      </c>
      <c r="AQ157" s="481">
        <f t="shared" si="343"/>
        <v>0</v>
      </c>
      <c r="AR157" s="481">
        <f t="shared" si="343"/>
        <v>0</v>
      </c>
      <c r="AS157" s="481">
        <f t="shared" si="343"/>
        <v>0</v>
      </c>
      <c r="AT157" s="481">
        <f t="shared" si="343"/>
        <v>0</v>
      </c>
      <c r="AU157" s="481">
        <f t="shared" ref="AU157:BB157" si="344">IF(AU154&gt;0,IF(AU156&lt;0,MIN(AU154/2,-AU156),MIN(AU156,0)),0)</f>
        <v>0</v>
      </c>
      <c r="AV157" s="481">
        <f t="shared" si="344"/>
        <v>0</v>
      </c>
      <c r="AW157" s="481">
        <f t="shared" si="344"/>
        <v>0</v>
      </c>
      <c r="AX157" s="481">
        <f t="shared" si="344"/>
        <v>0</v>
      </c>
      <c r="AY157" s="481">
        <f t="shared" si="344"/>
        <v>0</v>
      </c>
      <c r="AZ157" s="481">
        <f t="shared" si="344"/>
        <v>0</v>
      </c>
      <c r="BA157" s="481">
        <f t="shared" si="344"/>
        <v>0</v>
      </c>
      <c r="BB157" s="481">
        <f t="shared" si="344"/>
        <v>0</v>
      </c>
      <c r="BD157" s="512" t="s">
        <v>158</v>
      </c>
      <c r="BE157" s="513"/>
      <c r="BF157" s="513"/>
      <c r="BG157" s="513"/>
      <c r="BH157" s="513"/>
      <c r="BI157" s="513"/>
      <c r="BJ157" s="513"/>
      <c r="BK157" s="513"/>
      <c r="BL157" s="513"/>
      <c r="BM157" s="513"/>
      <c r="BN157" s="513"/>
    </row>
    <row r="158" spans="1:74" ht="15.6" hidden="1" outlineLevel="2">
      <c r="B158" s="112" t="s">
        <v>130</v>
      </c>
      <c r="C158" s="76"/>
      <c r="D158" s="76"/>
      <c r="E158" s="103"/>
      <c r="F158" s="176">
        <v>0</v>
      </c>
      <c r="G158" s="176">
        <f>MAX(G154-G157,0)</f>
        <v>0</v>
      </c>
      <c r="H158" s="481">
        <f>MAX(H154-H157,0)</f>
        <v>0</v>
      </c>
      <c r="I158" s="481">
        <f>MAX(I154-I157,0)</f>
        <v>3246179.7169636227</v>
      </c>
      <c r="J158" s="481">
        <f>MAX(J154-J157,0)</f>
        <v>3332479.3530195924</v>
      </c>
      <c r="K158" s="481">
        <f t="shared" ref="K158:AD158" si="345">MAX(K154-K157,0)</f>
        <v>2735344.8305767416</v>
      </c>
      <c r="L158" s="481">
        <f t="shared" si="345"/>
        <v>3447659.0444028005</v>
      </c>
      <c r="M158" s="481">
        <f t="shared" si="345"/>
        <v>3339261.2684035553</v>
      </c>
      <c r="N158" s="481">
        <f t="shared" si="345"/>
        <v>3470274.684512103</v>
      </c>
      <c r="O158" s="481">
        <f t="shared" si="345"/>
        <v>2806963.4407218238</v>
      </c>
      <c r="P158" s="481">
        <f t="shared" si="345"/>
        <v>4284294.0996378548</v>
      </c>
      <c r="Q158" s="481">
        <f t="shared" si="345"/>
        <v>4193984.618186309</v>
      </c>
      <c r="R158" s="481">
        <f t="shared" si="345"/>
        <v>4330039.1008428484</v>
      </c>
      <c r="S158" s="481">
        <f t="shared" si="345"/>
        <v>3599140.8708073469</v>
      </c>
      <c r="T158" s="481">
        <f t="shared" si="345"/>
        <v>4866734.08748045</v>
      </c>
      <c r="U158" s="481">
        <f t="shared" si="345"/>
        <v>4776052.8602569597</v>
      </c>
      <c r="V158" s="481">
        <f t="shared" si="345"/>
        <v>4917649.5023631444</v>
      </c>
      <c r="W158" s="481">
        <f t="shared" si="345"/>
        <v>4112342.7943645893</v>
      </c>
      <c r="X158" s="481">
        <f t="shared" si="345"/>
        <v>5509281.7280012425</v>
      </c>
      <c r="Y158" s="481">
        <f t="shared" si="345"/>
        <v>5418224.540547275</v>
      </c>
      <c r="Z158" s="481">
        <f t="shared" si="345"/>
        <v>5565914.3936072709</v>
      </c>
      <c r="AA158" s="481">
        <f t="shared" si="345"/>
        <v>4678692.4271013811</v>
      </c>
      <c r="AB158" s="481">
        <f t="shared" si="345"/>
        <v>9659197.2908110842</v>
      </c>
      <c r="AC158" s="481">
        <f t="shared" si="345"/>
        <v>12253209.667159714</v>
      </c>
      <c r="AD158" s="481">
        <f t="shared" si="345"/>
        <v>12561987.792052403</v>
      </c>
      <c r="AE158" s="481">
        <f t="shared" ref="AE158:AT158" si="346">MAX(AE154-AE157,0)</f>
        <v>10607191.831553742</v>
      </c>
      <c r="AF158" s="481">
        <f t="shared" si="346"/>
        <v>13999461.625716971</v>
      </c>
      <c r="AG158" s="481">
        <f t="shared" si="346"/>
        <v>13815828.345729165</v>
      </c>
      <c r="AH158" s="481">
        <f t="shared" si="346"/>
        <v>14139337.753679879</v>
      </c>
      <c r="AI158" s="481">
        <f t="shared" si="346"/>
        <v>11813148.010430966</v>
      </c>
      <c r="AJ158" s="481">
        <f t="shared" si="346"/>
        <v>15454986.610259164</v>
      </c>
      <c r="AK158" s="481">
        <f t="shared" si="346"/>
        <v>15119382.161181547</v>
      </c>
      <c r="AL158" s="481">
        <f t="shared" si="346"/>
        <v>20047113.350177683</v>
      </c>
      <c r="AM158" s="481">
        <f t="shared" si="346"/>
        <v>17170587.061345816</v>
      </c>
      <c r="AN158" s="481">
        <f t="shared" si="346"/>
        <v>22167327.291350808</v>
      </c>
      <c r="AO158" s="481">
        <f t="shared" si="346"/>
        <v>21984283.688933834</v>
      </c>
      <c r="AP158" s="481">
        <f t="shared" si="346"/>
        <v>22381962.67631596</v>
      </c>
      <c r="AQ158" s="481">
        <f t="shared" si="346"/>
        <v>19214417.808576673</v>
      </c>
      <c r="AR158" s="481">
        <f t="shared" si="346"/>
        <v>24717433.998842027</v>
      </c>
      <c r="AS158" s="481">
        <f t="shared" si="346"/>
        <v>24533852.824636616</v>
      </c>
      <c r="AT158" s="481">
        <f t="shared" si="346"/>
        <v>24955130.084624086</v>
      </c>
      <c r="AU158" s="481">
        <f t="shared" ref="AU158:BB158" si="347">MAX(AU154-AU157,0)</f>
        <v>21467296.48258543</v>
      </c>
      <c r="AV158" s="481">
        <f t="shared" si="347"/>
        <v>27527546.326000176</v>
      </c>
      <c r="AW158" s="481">
        <f t="shared" si="347"/>
        <v>27343462.162250143</v>
      </c>
      <c r="AX158" s="481">
        <f t="shared" si="347"/>
        <v>27790689.040796857</v>
      </c>
      <c r="AY158" s="481">
        <f t="shared" si="347"/>
        <v>23950361.118652619</v>
      </c>
      <c r="AZ158" s="481">
        <f t="shared" si="347"/>
        <v>30613273.78898995</v>
      </c>
      <c r="BA158" s="481">
        <f t="shared" si="347"/>
        <v>30432421.5002078</v>
      </c>
      <c r="BB158" s="481">
        <f t="shared" si="347"/>
        <v>30909425.607296281</v>
      </c>
      <c r="BD158" s="512" t="s">
        <v>130</v>
      </c>
      <c r="BE158" s="513"/>
      <c r="BF158" s="513"/>
      <c r="BG158" s="513"/>
      <c r="BH158" s="513"/>
      <c r="BI158" s="513"/>
      <c r="BJ158" s="513"/>
      <c r="BK158" s="513"/>
      <c r="BL158" s="513"/>
      <c r="BM158" s="513"/>
      <c r="BN158" s="513"/>
    </row>
    <row r="159" spans="1:74" s="87" customFormat="1" collapsed="1">
      <c r="A159" s="5"/>
      <c r="B159" s="65" t="s">
        <v>115</v>
      </c>
      <c r="C159" s="62"/>
      <c r="D159" s="62"/>
      <c r="E159" s="114"/>
      <c r="F159" s="177">
        <v>0</v>
      </c>
      <c r="G159" s="177">
        <f>MIN(-G158*$C$49,0)</f>
        <v>0</v>
      </c>
      <c r="H159" s="79">
        <f>MIN(-H158*$C$49,0)</f>
        <v>0</v>
      </c>
      <c r="I159" s="79">
        <f>MIN(-I158*$C$49,0)</f>
        <v>-811544.92924090568</v>
      </c>
      <c r="J159" s="79">
        <f>MIN(-J158*$C$49,0)</f>
        <v>-833119.83825489809</v>
      </c>
      <c r="K159" s="79">
        <f t="shared" ref="K159:AT159" si="348">MIN(-K158*$C$49,0)</f>
        <v>-683836.2076441854</v>
      </c>
      <c r="L159" s="79">
        <f t="shared" si="348"/>
        <v>-861914.76110070013</v>
      </c>
      <c r="M159" s="79">
        <f t="shared" si="348"/>
        <v>-834815.31710088882</v>
      </c>
      <c r="N159" s="79">
        <f t="shared" si="348"/>
        <v>-867568.67112802574</v>
      </c>
      <c r="O159" s="79">
        <f t="shared" si="348"/>
        <v>-701740.86018045596</v>
      </c>
      <c r="P159" s="79">
        <f t="shared" si="348"/>
        <v>-1071073.5249094637</v>
      </c>
      <c r="Q159" s="79">
        <f t="shared" si="348"/>
        <v>-1048496.1545465773</v>
      </c>
      <c r="R159" s="79">
        <f t="shared" si="348"/>
        <v>-1082509.7752107121</v>
      </c>
      <c r="S159" s="79">
        <f t="shared" si="348"/>
        <v>-899785.21770183672</v>
      </c>
      <c r="T159" s="79">
        <f t="shared" si="348"/>
        <v>-1216683.5218701125</v>
      </c>
      <c r="U159" s="79">
        <f t="shared" si="348"/>
        <v>-1194013.2150642399</v>
      </c>
      <c r="V159" s="79">
        <f t="shared" si="348"/>
        <v>-1229412.3755907861</v>
      </c>
      <c r="W159" s="79">
        <f t="shared" si="348"/>
        <v>-1028085.6985911473</v>
      </c>
      <c r="X159" s="79">
        <f t="shared" si="348"/>
        <v>-1377320.4320003106</v>
      </c>
      <c r="Y159" s="79">
        <f t="shared" si="348"/>
        <v>-1354556.1351368187</v>
      </c>
      <c r="Z159" s="79">
        <f t="shared" si="348"/>
        <v>-1391478.5984018177</v>
      </c>
      <c r="AA159" s="79">
        <f t="shared" si="348"/>
        <v>-1169673.1067753453</v>
      </c>
      <c r="AB159" s="79">
        <f t="shared" si="348"/>
        <v>-2414799.3227027711</v>
      </c>
      <c r="AC159" s="79">
        <f t="shared" si="348"/>
        <v>-3063302.4167899285</v>
      </c>
      <c r="AD159" s="79">
        <f t="shared" si="348"/>
        <v>-3140496.9480131008</v>
      </c>
      <c r="AE159" s="79">
        <f t="shared" si="348"/>
        <v>-2651797.9578884356</v>
      </c>
      <c r="AF159" s="79">
        <f t="shared" si="348"/>
        <v>-3499865.4064292428</v>
      </c>
      <c r="AG159" s="79">
        <f t="shared" si="348"/>
        <v>-3453957.0864322912</v>
      </c>
      <c r="AH159" s="79">
        <f t="shared" si="348"/>
        <v>-3534834.4384199698</v>
      </c>
      <c r="AI159" s="79">
        <f t="shared" si="348"/>
        <v>-2953287.0026077414</v>
      </c>
      <c r="AJ159" s="79">
        <f t="shared" si="348"/>
        <v>-3863746.652564791</v>
      </c>
      <c r="AK159" s="79">
        <f t="shared" si="348"/>
        <v>-3779845.5402953867</v>
      </c>
      <c r="AL159" s="79">
        <f t="shared" si="348"/>
        <v>-5011778.3375444207</v>
      </c>
      <c r="AM159" s="79">
        <f t="shared" si="348"/>
        <v>-4292646.7653364539</v>
      </c>
      <c r="AN159" s="79">
        <f t="shared" si="348"/>
        <v>-5541831.822837702</v>
      </c>
      <c r="AO159" s="79">
        <f t="shared" si="348"/>
        <v>-5496070.9222334586</v>
      </c>
      <c r="AP159" s="79">
        <f t="shared" si="348"/>
        <v>-5595490.6690789899</v>
      </c>
      <c r="AQ159" s="79">
        <f t="shared" si="348"/>
        <v>-4803604.4521441683</v>
      </c>
      <c r="AR159" s="79">
        <f t="shared" si="348"/>
        <v>-6179358.4997105068</v>
      </c>
      <c r="AS159" s="79">
        <f t="shared" si="348"/>
        <v>-6133463.206159154</v>
      </c>
      <c r="AT159" s="79">
        <f t="shared" si="348"/>
        <v>-6238782.5211560214</v>
      </c>
      <c r="AU159" s="79">
        <f t="shared" ref="AU159:BB159" si="349">MIN(-AU158*$C$49,0)</f>
        <v>-5366824.1206463575</v>
      </c>
      <c r="AV159" s="79">
        <f t="shared" si="349"/>
        <v>-6881886.5815000441</v>
      </c>
      <c r="AW159" s="79">
        <f t="shared" si="349"/>
        <v>-6835865.5405625356</v>
      </c>
      <c r="AX159" s="79">
        <f t="shared" si="349"/>
        <v>-6947672.2601992143</v>
      </c>
      <c r="AY159" s="79">
        <f t="shared" si="349"/>
        <v>-5987590.2796631549</v>
      </c>
      <c r="AZ159" s="79">
        <f t="shared" si="349"/>
        <v>-7653318.4472474875</v>
      </c>
      <c r="BA159" s="79">
        <f t="shared" si="349"/>
        <v>-7608105.3750519501</v>
      </c>
      <c r="BB159" s="79">
        <f t="shared" si="349"/>
        <v>-7727356.4018240701</v>
      </c>
      <c r="BD159" s="506" t="s">
        <v>115</v>
      </c>
      <c r="BE159" s="507">
        <f t="shared" ref="BE159:BN167" si="350">SUMIF($H$2:$BB$2,BE$2,$H159:$BB159)</f>
        <v>-3213686.1241006721</v>
      </c>
      <c r="BF159" s="507">
        <f t="shared" si="350"/>
        <v>-3688879.2107645227</v>
      </c>
      <c r="BG159" s="507">
        <f t="shared" si="350"/>
        <v>-4392991.7298469013</v>
      </c>
      <c r="BH159" s="507">
        <f t="shared" si="350"/>
        <v>-4989374.6413190626</v>
      </c>
      <c r="BI159" s="507">
        <f t="shared" si="350"/>
        <v>-8039253.4446698623</v>
      </c>
      <c r="BJ159" s="507">
        <f t="shared" si="350"/>
        <v>-12746117.39876307</v>
      </c>
      <c r="BK159" s="507">
        <f t="shared" si="350"/>
        <v>-14131713.633887889</v>
      </c>
      <c r="BL159" s="507">
        <f t="shared" si="350"/>
        <v>-20342327.847952034</v>
      </c>
      <c r="BM159" s="507">
        <f t="shared" si="350"/>
        <v>-22711916.827092819</v>
      </c>
      <c r="BN159" s="507">
        <f t="shared" si="350"/>
        <v>-25323358.763864961</v>
      </c>
    </row>
    <row r="160" spans="1:74" ht="15.6">
      <c r="B160" s="65" t="s">
        <v>67</v>
      </c>
      <c r="C160" s="62"/>
      <c r="D160" s="62"/>
      <c r="E160" s="210">
        <f>SUM(F160:I160)</f>
        <v>434906000</v>
      </c>
      <c r="F160" s="177">
        <f>SUM('Отчетность АО9 2024'!F24:H24)</f>
        <v>151400000</v>
      </c>
      <c r="G160" s="177">
        <f>SUM('Отчетность АО9 2024'!I24:K24)</f>
        <v>58821000</v>
      </c>
      <c r="H160" s="96">
        <f>C74-(G160-C73)+35000000</f>
        <v>144685000</v>
      </c>
      <c r="I160" s="96">
        <f>C75-35000000</f>
        <v>80000000</v>
      </c>
      <c r="J160" s="96">
        <v>0</v>
      </c>
      <c r="K160" s="96">
        <v>0</v>
      </c>
      <c r="L160" s="96">
        <v>0</v>
      </c>
      <c r="M160" s="96">
        <v>0</v>
      </c>
      <c r="N160" s="96">
        <v>0</v>
      </c>
      <c r="O160" s="96">
        <v>0</v>
      </c>
      <c r="P160" s="96">
        <v>0</v>
      </c>
      <c r="Q160" s="96">
        <v>0</v>
      </c>
      <c r="R160" s="96">
        <v>0</v>
      </c>
      <c r="S160" s="96">
        <v>0</v>
      </c>
      <c r="T160" s="96">
        <v>0</v>
      </c>
      <c r="U160" s="96">
        <v>0</v>
      </c>
      <c r="V160" s="96">
        <v>0</v>
      </c>
      <c r="W160" s="96">
        <v>0</v>
      </c>
      <c r="X160" s="96">
        <v>0</v>
      </c>
      <c r="Y160" s="96">
        <v>0</v>
      </c>
      <c r="Z160" s="96">
        <v>0</v>
      </c>
      <c r="AA160" s="96">
        <v>0</v>
      </c>
      <c r="AB160" s="96">
        <v>0</v>
      </c>
      <c r="AC160" s="96">
        <v>0</v>
      </c>
      <c r="AD160" s="96">
        <v>0</v>
      </c>
      <c r="AE160" s="96">
        <v>0</v>
      </c>
      <c r="AF160" s="96">
        <v>0</v>
      </c>
      <c r="AG160" s="96">
        <v>0</v>
      </c>
      <c r="AH160" s="96">
        <v>0</v>
      </c>
      <c r="AI160" s="96">
        <v>0</v>
      </c>
      <c r="AJ160" s="96">
        <v>0</v>
      </c>
      <c r="AK160" s="96">
        <v>0</v>
      </c>
      <c r="AL160" s="96">
        <v>0</v>
      </c>
      <c r="AM160" s="96">
        <v>0</v>
      </c>
      <c r="AN160" s="96">
        <v>0</v>
      </c>
      <c r="AO160" s="96">
        <v>0</v>
      </c>
      <c r="AP160" s="96">
        <v>0</v>
      </c>
      <c r="AQ160" s="96">
        <v>0</v>
      </c>
      <c r="AR160" s="96">
        <v>0</v>
      </c>
      <c r="AS160" s="96">
        <v>0</v>
      </c>
      <c r="AT160" s="96">
        <v>0</v>
      </c>
      <c r="AU160" s="96">
        <v>0</v>
      </c>
      <c r="AV160" s="96">
        <v>0</v>
      </c>
      <c r="AW160" s="96">
        <v>0</v>
      </c>
      <c r="AX160" s="96">
        <v>0</v>
      </c>
      <c r="AY160" s="96">
        <v>0</v>
      </c>
      <c r="AZ160" s="96">
        <v>0</v>
      </c>
      <c r="BA160" s="96">
        <v>0</v>
      </c>
      <c r="BB160" s="96">
        <v>0</v>
      </c>
      <c r="BD160" s="510" t="s">
        <v>67</v>
      </c>
      <c r="BE160" s="511">
        <f>SUMIF($H$2:$BB$2,BE$2,$H160:$BB160)</f>
        <v>0</v>
      </c>
      <c r="BF160" s="511">
        <f t="shared" si="350"/>
        <v>0</v>
      </c>
      <c r="BG160" s="511">
        <f t="shared" si="350"/>
        <v>0</v>
      </c>
      <c r="BH160" s="511">
        <f t="shared" si="350"/>
        <v>0</v>
      </c>
      <c r="BI160" s="511">
        <f t="shared" si="350"/>
        <v>0</v>
      </c>
      <c r="BJ160" s="511">
        <f t="shared" si="350"/>
        <v>0</v>
      </c>
      <c r="BK160" s="511">
        <f t="shared" si="350"/>
        <v>0</v>
      </c>
      <c r="BL160" s="511">
        <f t="shared" si="350"/>
        <v>0</v>
      </c>
      <c r="BM160" s="511">
        <f t="shared" si="350"/>
        <v>0</v>
      </c>
      <c r="BN160" s="511">
        <f t="shared" si="350"/>
        <v>0</v>
      </c>
    </row>
    <row r="161" spans="1:74">
      <c r="B161" s="65" t="s">
        <v>126</v>
      </c>
      <c r="C161" s="62"/>
      <c r="D161" s="62"/>
      <c r="E161" s="160"/>
      <c r="F161" s="177">
        <f>SUM('Отчетность АО9 2024'!F20:H20)</f>
        <v>303410000</v>
      </c>
      <c r="G161" s="177">
        <f>SUM('Отчетность АО9 2024'!I20:K20)</f>
        <v>0</v>
      </c>
      <c r="H161" s="96">
        <v>0</v>
      </c>
      <c r="I161" s="96">
        <v>0</v>
      </c>
      <c r="J161" s="96">
        <v>0</v>
      </c>
      <c r="K161" s="96">
        <v>0</v>
      </c>
      <c r="L161" s="96">
        <v>0</v>
      </c>
      <c r="M161" s="96">
        <v>0</v>
      </c>
      <c r="N161" s="96">
        <v>0</v>
      </c>
      <c r="O161" s="96">
        <v>0</v>
      </c>
      <c r="P161" s="96">
        <v>0</v>
      </c>
      <c r="Q161" s="96">
        <v>0</v>
      </c>
      <c r="R161" s="96">
        <v>0</v>
      </c>
      <c r="S161" s="96">
        <v>0</v>
      </c>
      <c r="T161" s="96">
        <v>0</v>
      </c>
      <c r="U161" s="96">
        <v>0</v>
      </c>
      <c r="V161" s="96">
        <v>0</v>
      </c>
      <c r="W161" s="96">
        <v>0</v>
      </c>
      <c r="X161" s="96">
        <v>0</v>
      </c>
      <c r="Y161" s="96">
        <v>0</v>
      </c>
      <c r="Z161" s="96">
        <v>0</v>
      </c>
      <c r="AA161" s="96">
        <v>0</v>
      </c>
      <c r="AB161" s="96">
        <v>0</v>
      </c>
      <c r="AC161" s="96">
        <v>0</v>
      </c>
      <c r="AD161" s="96">
        <v>0</v>
      </c>
      <c r="AE161" s="96">
        <v>0</v>
      </c>
      <c r="AF161" s="96">
        <v>0</v>
      </c>
      <c r="AG161" s="96">
        <v>0</v>
      </c>
      <c r="AH161" s="96">
        <v>0</v>
      </c>
      <c r="AI161" s="96">
        <v>0</v>
      </c>
      <c r="AJ161" s="96">
        <v>0</v>
      </c>
      <c r="AK161" s="96">
        <v>0</v>
      </c>
      <c r="AL161" s="96">
        <v>0</v>
      </c>
      <c r="AM161" s="96">
        <v>0</v>
      </c>
      <c r="AN161" s="96">
        <v>0</v>
      </c>
      <c r="AO161" s="96">
        <v>0</v>
      </c>
      <c r="AP161" s="96">
        <v>0</v>
      </c>
      <c r="AQ161" s="96">
        <v>0</v>
      </c>
      <c r="AR161" s="96">
        <v>0</v>
      </c>
      <c r="AS161" s="96">
        <v>0</v>
      </c>
      <c r="AT161" s="96">
        <v>0</v>
      </c>
      <c r="AU161" s="96">
        <v>0</v>
      </c>
      <c r="AV161" s="96">
        <v>0</v>
      </c>
      <c r="AW161" s="96">
        <v>0</v>
      </c>
      <c r="AX161" s="96">
        <v>0</v>
      </c>
      <c r="AY161" s="96">
        <v>0</v>
      </c>
      <c r="AZ161" s="96">
        <v>0</v>
      </c>
      <c r="BA161" s="96">
        <v>0</v>
      </c>
      <c r="BB161" s="96">
        <v>0</v>
      </c>
      <c r="BD161" s="510" t="s">
        <v>126</v>
      </c>
      <c r="BE161" s="511">
        <f>SUMIF($H$2:$BB$2,BE$2,$H161:$BB161)</f>
        <v>0</v>
      </c>
      <c r="BF161" s="511">
        <f t="shared" si="350"/>
        <v>0</v>
      </c>
      <c r="BG161" s="511">
        <f t="shared" si="350"/>
        <v>0</v>
      </c>
      <c r="BH161" s="511">
        <f t="shared" si="350"/>
        <v>0</v>
      </c>
      <c r="BI161" s="511">
        <f t="shared" si="350"/>
        <v>0</v>
      </c>
      <c r="BJ161" s="511">
        <f t="shared" si="350"/>
        <v>0</v>
      </c>
      <c r="BK161" s="511">
        <f t="shared" si="350"/>
        <v>0</v>
      </c>
      <c r="BL161" s="511">
        <f t="shared" si="350"/>
        <v>0</v>
      </c>
      <c r="BM161" s="511">
        <f t="shared" si="350"/>
        <v>0</v>
      </c>
      <c r="BN161" s="511">
        <f t="shared" si="350"/>
        <v>0</v>
      </c>
    </row>
    <row r="162" spans="1:74" ht="15.6">
      <c r="B162" s="65" t="s">
        <v>128</v>
      </c>
      <c r="C162" s="62"/>
      <c r="D162" s="62"/>
      <c r="E162" s="160"/>
      <c r="F162" s="177">
        <f>SUM('Отчетность АО9 2024'!F21:H21)</f>
        <v>0</v>
      </c>
      <c r="G162" s="177">
        <f>SUM('Отчетность АО9 2024'!I21:K21)</f>
        <v>-19961196.690000001</v>
      </c>
      <c r="H162" s="480">
        <f>-SUM(F77:F79) - SUM(H102,H106,H113,H118)</f>
        <v>-217044431.61000001</v>
      </c>
      <c r="I162" s="480">
        <f>-SUM(F80:F82) - SUM(I102,I106,I113,I118)</f>
        <v>-80844261.524590164</v>
      </c>
      <c r="J162" s="480">
        <f>-SUM(F83:F85)</f>
        <v>0</v>
      </c>
      <c r="K162" s="96">
        <v>0</v>
      </c>
      <c r="L162" s="96">
        <v>0</v>
      </c>
      <c r="M162" s="96">
        <v>0</v>
      </c>
      <c r="N162" s="96">
        <v>0</v>
      </c>
      <c r="O162" s="96">
        <v>0</v>
      </c>
      <c r="P162" s="96">
        <v>0</v>
      </c>
      <c r="Q162" s="96">
        <v>0</v>
      </c>
      <c r="R162" s="96">
        <v>0</v>
      </c>
      <c r="S162" s="96">
        <v>0</v>
      </c>
      <c r="T162" s="96">
        <v>0</v>
      </c>
      <c r="U162" s="96">
        <v>0</v>
      </c>
      <c r="V162" s="96">
        <v>0</v>
      </c>
      <c r="W162" s="96">
        <v>0</v>
      </c>
      <c r="X162" s="96">
        <v>0</v>
      </c>
      <c r="Y162" s="96">
        <v>0</v>
      </c>
      <c r="Z162" s="96">
        <v>0</v>
      </c>
      <c r="AA162" s="96">
        <v>0</v>
      </c>
      <c r="AB162" s="96">
        <v>0</v>
      </c>
      <c r="AC162" s="96">
        <v>0</v>
      </c>
      <c r="AD162" s="96">
        <v>0</v>
      </c>
      <c r="AE162" s="96">
        <v>0</v>
      </c>
      <c r="AF162" s="96">
        <v>0</v>
      </c>
      <c r="AG162" s="96">
        <v>0</v>
      </c>
      <c r="AH162" s="96">
        <v>0</v>
      </c>
      <c r="AI162" s="96">
        <v>0</v>
      </c>
      <c r="AJ162" s="96">
        <v>0</v>
      </c>
      <c r="AK162" s="96">
        <v>0</v>
      </c>
      <c r="AL162" s="96">
        <v>0</v>
      </c>
      <c r="AM162" s="96">
        <v>0</v>
      </c>
      <c r="AN162" s="96">
        <v>0</v>
      </c>
      <c r="AO162" s="96">
        <v>0</v>
      </c>
      <c r="AP162" s="96">
        <v>0</v>
      </c>
      <c r="AQ162" s="96">
        <v>0</v>
      </c>
      <c r="AR162" s="96">
        <v>0</v>
      </c>
      <c r="AS162" s="96">
        <v>0</v>
      </c>
      <c r="AT162" s="96">
        <v>0</v>
      </c>
      <c r="AU162" s="96">
        <v>0</v>
      </c>
      <c r="AV162" s="96">
        <v>0</v>
      </c>
      <c r="AW162" s="96">
        <v>0</v>
      </c>
      <c r="AX162" s="96">
        <v>0</v>
      </c>
      <c r="AY162" s="96">
        <v>0</v>
      </c>
      <c r="AZ162" s="96">
        <v>0</v>
      </c>
      <c r="BA162" s="96">
        <v>0</v>
      </c>
      <c r="BB162" s="96">
        <v>0</v>
      </c>
      <c r="BC162" s="21"/>
      <c r="BD162" s="510" t="s">
        <v>128</v>
      </c>
      <c r="BE162" s="511">
        <f>SUMIF($H$2:$BB$2,BE$2,$H162:$BB162)</f>
        <v>0</v>
      </c>
      <c r="BF162" s="511">
        <f t="shared" si="350"/>
        <v>0</v>
      </c>
      <c r="BG162" s="511">
        <f t="shared" si="350"/>
        <v>0</v>
      </c>
      <c r="BH162" s="511">
        <f t="shared" si="350"/>
        <v>0</v>
      </c>
      <c r="BI162" s="511">
        <f t="shared" si="350"/>
        <v>0</v>
      </c>
      <c r="BJ162" s="511">
        <f t="shared" si="350"/>
        <v>0</v>
      </c>
      <c r="BK162" s="511">
        <f t="shared" si="350"/>
        <v>0</v>
      </c>
      <c r="BL162" s="511">
        <f t="shared" si="350"/>
        <v>0</v>
      </c>
      <c r="BM162" s="511">
        <f t="shared" si="350"/>
        <v>0</v>
      </c>
      <c r="BN162" s="511">
        <f t="shared" si="350"/>
        <v>0</v>
      </c>
      <c r="BO162" s="21"/>
      <c r="BP162" s="21"/>
      <c r="BQ162" s="21"/>
      <c r="BR162" s="21"/>
      <c r="BS162" s="21"/>
      <c r="BT162" s="21"/>
      <c r="BU162" s="21"/>
      <c r="BV162" s="21"/>
    </row>
    <row r="163" spans="1:74" hidden="1" outlineLevel="1">
      <c r="B163" s="65" t="s">
        <v>122</v>
      </c>
      <c r="C163" s="62"/>
      <c r="D163" s="62"/>
      <c r="E163" s="160"/>
      <c r="F163" s="177">
        <f>SUM('Отчетность АО9 2024'!F18:H18)</f>
        <v>-200000000</v>
      </c>
      <c r="G163" s="177">
        <f>SUM('Отчетность АО9 2024'!I18:K18)+60000000</f>
        <v>-175000000</v>
      </c>
      <c r="H163" s="96">
        <v>0</v>
      </c>
      <c r="I163" s="96">
        <v>0</v>
      </c>
      <c r="J163" s="96">
        <v>0</v>
      </c>
      <c r="K163" s="96">
        <v>0</v>
      </c>
      <c r="L163" s="96">
        <v>0</v>
      </c>
      <c r="M163" s="96">
        <v>0</v>
      </c>
      <c r="N163" s="96">
        <v>0</v>
      </c>
      <c r="O163" s="96">
        <v>0</v>
      </c>
      <c r="P163" s="96">
        <v>0</v>
      </c>
      <c r="Q163" s="96">
        <v>0</v>
      </c>
      <c r="R163" s="96">
        <v>0</v>
      </c>
      <c r="S163" s="96">
        <v>0</v>
      </c>
      <c r="T163" s="96">
        <v>0</v>
      </c>
      <c r="U163" s="96">
        <v>0</v>
      </c>
      <c r="V163" s="96">
        <v>0</v>
      </c>
      <c r="W163" s="96">
        <v>0</v>
      </c>
      <c r="X163" s="96">
        <v>0</v>
      </c>
      <c r="Y163" s="96">
        <v>0</v>
      </c>
      <c r="Z163" s="96">
        <v>0</v>
      </c>
      <c r="AA163" s="96">
        <v>0</v>
      </c>
      <c r="AB163" s="96">
        <v>0</v>
      </c>
      <c r="AC163" s="96">
        <v>0</v>
      </c>
      <c r="AD163" s="96">
        <v>0</v>
      </c>
      <c r="AE163" s="96">
        <v>0</v>
      </c>
      <c r="AF163" s="96">
        <v>0</v>
      </c>
      <c r="AG163" s="96">
        <v>0</v>
      </c>
      <c r="AH163" s="96">
        <v>0</v>
      </c>
      <c r="AI163" s="96">
        <v>0</v>
      </c>
      <c r="AJ163" s="96">
        <v>0</v>
      </c>
      <c r="AK163" s="96">
        <v>0</v>
      </c>
      <c r="AL163" s="96">
        <v>0</v>
      </c>
      <c r="AM163" s="96">
        <v>0</v>
      </c>
      <c r="AN163" s="96">
        <v>0</v>
      </c>
      <c r="AO163" s="96">
        <v>0</v>
      </c>
      <c r="AP163" s="96">
        <v>0</v>
      </c>
      <c r="AQ163" s="96">
        <v>0</v>
      </c>
      <c r="AR163" s="96">
        <v>0</v>
      </c>
      <c r="AS163" s="96">
        <v>0</v>
      </c>
      <c r="AT163" s="96">
        <v>0</v>
      </c>
      <c r="AU163" s="96">
        <v>0</v>
      </c>
      <c r="AV163" s="96">
        <v>0</v>
      </c>
      <c r="AW163" s="96">
        <v>0</v>
      </c>
      <c r="AX163" s="96">
        <v>0</v>
      </c>
      <c r="AY163" s="96">
        <v>0</v>
      </c>
      <c r="AZ163" s="96">
        <v>0</v>
      </c>
      <c r="BA163" s="96">
        <v>0</v>
      </c>
      <c r="BB163" s="96">
        <v>0</v>
      </c>
      <c r="BD163" s="510" t="s">
        <v>122</v>
      </c>
      <c r="BE163" s="511">
        <f>SUMIF($H$2:$BB$2,BE$2,$H163:$BB163)</f>
        <v>0</v>
      </c>
      <c r="BF163" s="511">
        <f t="shared" si="350"/>
        <v>0</v>
      </c>
      <c r="BG163" s="511">
        <f t="shared" si="350"/>
        <v>0</v>
      </c>
      <c r="BH163" s="511">
        <f t="shared" si="350"/>
        <v>0</v>
      </c>
      <c r="BI163" s="511">
        <f t="shared" si="350"/>
        <v>0</v>
      </c>
      <c r="BJ163" s="511">
        <f t="shared" si="350"/>
        <v>0</v>
      </c>
      <c r="BK163" s="511">
        <f t="shared" si="350"/>
        <v>0</v>
      </c>
      <c r="BL163" s="511">
        <f t="shared" si="350"/>
        <v>0</v>
      </c>
      <c r="BM163" s="511">
        <f t="shared" si="350"/>
        <v>0</v>
      </c>
      <c r="BN163" s="511">
        <f t="shared" si="350"/>
        <v>0</v>
      </c>
    </row>
    <row r="164" spans="1:74" hidden="1" outlineLevel="1">
      <c r="B164" s="65" t="s">
        <v>125</v>
      </c>
      <c r="C164" s="62"/>
      <c r="D164" s="62"/>
      <c r="E164" s="160"/>
      <c r="F164" s="177">
        <v>0</v>
      </c>
      <c r="G164" s="177">
        <v>-60000000</v>
      </c>
      <c r="H164" s="96">
        <f>-G164</f>
        <v>60000000</v>
      </c>
      <c r="I164" s="96">
        <v>0</v>
      </c>
      <c r="J164" s="96">
        <v>0</v>
      </c>
      <c r="K164" s="96">
        <v>0</v>
      </c>
      <c r="L164" s="96">
        <v>0</v>
      </c>
      <c r="M164" s="96">
        <v>0</v>
      </c>
      <c r="N164" s="96">
        <v>0</v>
      </c>
      <c r="O164" s="96">
        <v>0</v>
      </c>
      <c r="P164" s="96">
        <v>0</v>
      </c>
      <c r="Q164" s="96">
        <v>0</v>
      </c>
      <c r="R164" s="96">
        <v>0</v>
      </c>
      <c r="S164" s="96">
        <v>0</v>
      </c>
      <c r="T164" s="96">
        <v>0</v>
      </c>
      <c r="U164" s="96">
        <v>0</v>
      </c>
      <c r="V164" s="96">
        <v>0</v>
      </c>
      <c r="W164" s="96">
        <v>0</v>
      </c>
      <c r="X164" s="96">
        <v>0</v>
      </c>
      <c r="Y164" s="96">
        <v>0</v>
      </c>
      <c r="Z164" s="96">
        <v>0</v>
      </c>
      <c r="AA164" s="96">
        <v>0</v>
      </c>
      <c r="AB164" s="96">
        <v>0</v>
      </c>
      <c r="AC164" s="96">
        <v>0</v>
      </c>
      <c r="AD164" s="96">
        <v>0</v>
      </c>
      <c r="AE164" s="96">
        <v>0</v>
      </c>
      <c r="AF164" s="96">
        <v>0</v>
      </c>
      <c r="AG164" s="96">
        <v>0</v>
      </c>
      <c r="AH164" s="96">
        <v>0</v>
      </c>
      <c r="AI164" s="96">
        <v>0</v>
      </c>
      <c r="AJ164" s="96">
        <v>0</v>
      </c>
      <c r="AK164" s="96">
        <v>0</v>
      </c>
      <c r="AL164" s="96">
        <v>0</v>
      </c>
      <c r="AM164" s="96">
        <v>0</v>
      </c>
      <c r="AN164" s="96">
        <v>0</v>
      </c>
      <c r="AO164" s="96">
        <v>0</v>
      </c>
      <c r="AP164" s="96">
        <v>0</v>
      </c>
      <c r="AQ164" s="96">
        <v>0</v>
      </c>
      <c r="AR164" s="96">
        <v>0</v>
      </c>
      <c r="AS164" s="96">
        <v>0</v>
      </c>
      <c r="AT164" s="96">
        <v>0</v>
      </c>
      <c r="AU164" s="96">
        <v>0</v>
      </c>
      <c r="AV164" s="96">
        <v>0</v>
      </c>
      <c r="AW164" s="96">
        <v>0</v>
      </c>
      <c r="AX164" s="96">
        <v>0</v>
      </c>
      <c r="AY164" s="96">
        <v>0</v>
      </c>
      <c r="AZ164" s="96">
        <v>0</v>
      </c>
      <c r="BA164" s="96">
        <v>0</v>
      </c>
      <c r="BB164" s="96">
        <v>0</v>
      </c>
      <c r="BD164" s="510" t="s">
        <v>125</v>
      </c>
      <c r="BE164" s="511">
        <f>SUMIF($H$2:$BB$2,BE$2,$H164:$BB164)</f>
        <v>0</v>
      </c>
      <c r="BF164" s="511">
        <f t="shared" si="350"/>
        <v>0</v>
      </c>
      <c r="BG164" s="511">
        <f t="shared" si="350"/>
        <v>0</v>
      </c>
      <c r="BH164" s="511">
        <f t="shared" si="350"/>
        <v>0</v>
      </c>
      <c r="BI164" s="511">
        <f t="shared" si="350"/>
        <v>0</v>
      </c>
      <c r="BJ164" s="511">
        <f t="shared" si="350"/>
        <v>0</v>
      </c>
      <c r="BK164" s="511">
        <f t="shared" si="350"/>
        <v>0</v>
      </c>
      <c r="BL164" s="511">
        <f t="shared" si="350"/>
        <v>0</v>
      </c>
      <c r="BM164" s="511">
        <f t="shared" si="350"/>
        <v>0</v>
      </c>
      <c r="BN164" s="511">
        <f t="shared" si="350"/>
        <v>0</v>
      </c>
    </row>
    <row r="165" spans="1:74" hidden="1" outlineLevel="1">
      <c r="B165" s="65" t="s">
        <v>228</v>
      </c>
      <c r="C165" s="62"/>
      <c r="D165" s="62"/>
      <c r="E165" s="160"/>
      <c r="F165" s="177">
        <f>SUM('Отчетность АО9 2024'!F27:H27)</f>
        <v>0</v>
      </c>
      <c r="G165" s="177">
        <f>SUM('Отчетность АО9 2024'!J27:L27)</f>
        <v>0</v>
      </c>
      <c r="H165" s="96">
        <v>0</v>
      </c>
      <c r="I165" s="96">
        <v>0</v>
      </c>
      <c r="J165" s="96">
        <v>0</v>
      </c>
      <c r="K165" s="96">
        <v>0</v>
      </c>
      <c r="L165" s="96">
        <v>0</v>
      </c>
      <c r="M165" s="96">
        <v>0</v>
      </c>
      <c r="N165" s="96">
        <v>0</v>
      </c>
      <c r="O165" s="96">
        <v>0</v>
      </c>
      <c r="P165" s="96">
        <v>0</v>
      </c>
      <c r="Q165" s="96">
        <v>0</v>
      </c>
      <c r="R165" s="96">
        <v>0</v>
      </c>
      <c r="S165" s="96">
        <v>0</v>
      </c>
      <c r="T165" s="96">
        <v>0</v>
      </c>
      <c r="U165" s="96">
        <v>0</v>
      </c>
      <c r="V165" s="96">
        <v>0</v>
      </c>
      <c r="W165" s="96">
        <v>0</v>
      </c>
      <c r="X165" s="96">
        <v>0</v>
      </c>
      <c r="Y165" s="96">
        <v>0</v>
      </c>
      <c r="Z165" s="96">
        <v>0</v>
      </c>
      <c r="AA165" s="96">
        <v>0</v>
      </c>
      <c r="AB165" s="96">
        <v>0</v>
      </c>
      <c r="AC165" s="96">
        <v>0</v>
      </c>
      <c r="AD165" s="96">
        <v>0</v>
      </c>
      <c r="AE165" s="96">
        <v>0</v>
      </c>
      <c r="AF165" s="96">
        <v>0</v>
      </c>
      <c r="AG165" s="96">
        <v>0</v>
      </c>
      <c r="AH165" s="96">
        <v>0</v>
      </c>
      <c r="AI165" s="96">
        <v>0</v>
      </c>
      <c r="AJ165" s="96">
        <v>0</v>
      </c>
      <c r="AK165" s="96">
        <v>0</v>
      </c>
      <c r="AL165" s="96">
        <v>0</v>
      </c>
      <c r="AM165" s="96">
        <v>0</v>
      </c>
      <c r="AN165" s="96">
        <v>0</v>
      </c>
      <c r="AO165" s="96">
        <v>0</v>
      </c>
      <c r="AP165" s="96">
        <v>0</v>
      </c>
      <c r="AQ165" s="96">
        <v>0</v>
      </c>
      <c r="AR165" s="96">
        <v>0</v>
      </c>
      <c r="AS165" s="96">
        <v>0</v>
      </c>
      <c r="AT165" s="96">
        <v>0</v>
      </c>
      <c r="AU165" s="96">
        <v>0</v>
      </c>
      <c r="AV165" s="96">
        <v>0</v>
      </c>
      <c r="AW165" s="96">
        <v>0</v>
      </c>
      <c r="AX165" s="96">
        <v>0</v>
      </c>
      <c r="AY165" s="96">
        <v>0</v>
      </c>
      <c r="AZ165" s="96">
        <v>0</v>
      </c>
      <c r="BA165" s="96">
        <v>0</v>
      </c>
      <c r="BB165" s="96">
        <v>0</v>
      </c>
      <c r="BD165" s="510" t="s">
        <v>228</v>
      </c>
      <c r="BE165" s="511">
        <f t="shared" si="350"/>
        <v>0</v>
      </c>
      <c r="BF165" s="511">
        <f t="shared" si="350"/>
        <v>0</v>
      </c>
      <c r="BG165" s="511">
        <f t="shared" si="350"/>
        <v>0</v>
      </c>
      <c r="BH165" s="511">
        <f t="shared" si="350"/>
        <v>0</v>
      </c>
      <c r="BI165" s="511">
        <f t="shared" si="350"/>
        <v>0</v>
      </c>
      <c r="BJ165" s="511">
        <f t="shared" si="350"/>
        <v>0</v>
      </c>
      <c r="BK165" s="511">
        <f t="shared" si="350"/>
        <v>0</v>
      </c>
      <c r="BL165" s="511">
        <f t="shared" si="350"/>
        <v>0</v>
      </c>
      <c r="BM165" s="511">
        <f t="shared" si="350"/>
        <v>0</v>
      </c>
      <c r="BN165" s="511">
        <f t="shared" si="350"/>
        <v>0</v>
      </c>
    </row>
    <row r="166" spans="1:74" hidden="1" outlineLevel="1">
      <c r="B166" s="65" t="s">
        <v>229</v>
      </c>
      <c r="C166" s="62"/>
      <c r="D166" s="62"/>
      <c r="E166" s="160"/>
      <c r="F166" s="177">
        <f>SUM('Отчетность АО9 2024'!E23:G23)</f>
        <v>10000</v>
      </c>
      <c r="G166" s="177">
        <f>SUM('Отчетность АО9 2024'!J26:L26)</f>
        <v>0</v>
      </c>
      <c r="H166" s="96">
        <v>0</v>
      </c>
      <c r="I166" s="96">
        <v>0</v>
      </c>
      <c r="J166" s="96">
        <v>0</v>
      </c>
      <c r="K166" s="96">
        <v>0</v>
      </c>
      <c r="L166" s="96">
        <v>0</v>
      </c>
      <c r="M166" s="96">
        <v>0</v>
      </c>
      <c r="N166" s="96">
        <v>0</v>
      </c>
      <c r="O166" s="96">
        <v>0</v>
      </c>
      <c r="P166" s="96">
        <v>0</v>
      </c>
      <c r="Q166" s="96">
        <v>0</v>
      </c>
      <c r="R166" s="96">
        <v>0</v>
      </c>
      <c r="S166" s="96">
        <v>0</v>
      </c>
      <c r="T166" s="96">
        <v>0</v>
      </c>
      <c r="U166" s="96">
        <v>0</v>
      </c>
      <c r="V166" s="96">
        <v>0</v>
      </c>
      <c r="W166" s="96">
        <v>0</v>
      </c>
      <c r="X166" s="96">
        <v>0</v>
      </c>
      <c r="Y166" s="96">
        <v>0</v>
      </c>
      <c r="Z166" s="96">
        <v>0</v>
      </c>
      <c r="AA166" s="96">
        <v>0</v>
      </c>
      <c r="AB166" s="96">
        <v>0</v>
      </c>
      <c r="AC166" s="96">
        <v>0</v>
      </c>
      <c r="AD166" s="96">
        <v>0</v>
      </c>
      <c r="AE166" s="96">
        <v>0</v>
      </c>
      <c r="AF166" s="96">
        <v>0</v>
      </c>
      <c r="AG166" s="96">
        <v>0</v>
      </c>
      <c r="AH166" s="96">
        <v>0</v>
      </c>
      <c r="AI166" s="96">
        <v>0</v>
      </c>
      <c r="AJ166" s="96">
        <v>0</v>
      </c>
      <c r="AK166" s="96">
        <v>0</v>
      </c>
      <c r="AL166" s="96">
        <v>0</v>
      </c>
      <c r="AM166" s="96">
        <v>0</v>
      </c>
      <c r="AN166" s="96">
        <v>0</v>
      </c>
      <c r="AO166" s="96">
        <v>0</v>
      </c>
      <c r="AP166" s="96">
        <v>0</v>
      </c>
      <c r="AQ166" s="96">
        <v>0</v>
      </c>
      <c r="AR166" s="96">
        <v>0</v>
      </c>
      <c r="AS166" s="96">
        <v>0</v>
      </c>
      <c r="AT166" s="96">
        <v>0</v>
      </c>
      <c r="AU166" s="96">
        <v>0</v>
      </c>
      <c r="AV166" s="96">
        <v>0</v>
      </c>
      <c r="AW166" s="96">
        <v>0</v>
      </c>
      <c r="AX166" s="96">
        <v>0</v>
      </c>
      <c r="AY166" s="96">
        <v>0</v>
      </c>
      <c r="AZ166" s="96">
        <v>0</v>
      </c>
      <c r="BA166" s="96">
        <v>0</v>
      </c>
      <c r="BB166" s="96">
        <v>0</v>
      </c>
      <c r="BD166" s="510" t="s">
        <v>229</v>
      </c>
      <c r="BE166" s="511">
        <f>SUMIF($H$2:$BB$2,BE$2,$H166:$BB166)</f>
        <v>0</v>
      </c>
      <c r="BF166" s="511">
        <f t="shared" si="350"/>
        <v>0</v>
      </c>
      <c r="BG166" s="511">
        <f t="shared" si="350"/>
        <v>0</v>
      </c>
      <c r="BH166" s="511">
        <f t="shared" si="350"/>
        <v>0</v>
      </c>
      <c r="BI166" s="511">
        <f t="shared" si="350"/>
        <v>0</v>
      </c>
      <c r="BJ166" s="511">
        <f t="shared" si="350"/>
        <v>0</v>
      </c>
      <c r="BK166" s="511">
        <f t="shared" si="350"/>
        <v>0</v>
      </c>
      <c r="BL166" s="511">
        <f t="shared" si="350"/>
        <v>0</v>
      </c>
      <c r="BM166" s="511">
        <f t="shared" si="350"/>
        <v>0</v>
      </c>
      <c r="BN166" s="511">
        <f t="shared" si="350"/>
        <v>0</v>
      </c>
    </row>
    <row r="167" spans="1:74" s="83" customFormat="1" ht="15.6" collapsed="1">
      <c r="A167" s="5"/>
      <c r="B167" s="68" t="s">
        <v>27</v>
      </c>
      <c r="C167" s="69"/>
      <c r="D167" s="70"/>
      <c r="E167" s="157"/>
      <c r="F167" s="174">
        <f t="shared" ref="F167:K167" si="351">F149+F153+SUM(F159:F166)</f>
        <v>241845170.71000001</v>
      </c>
      <c r="G167" s="174">
        <f t="shared" si="351"/>
        <v>-210703206.38999999</v>
      </c>
      <c r="H167" s="81">
        <f>H149+H153+SUM(H159:H166)</f>
        <v>-18280678.619311355</v>
      </c>
      <c r="I167" s="81">
        <f>I149+I153+SUM(I159:I166)</f>
        <v>7133802.9800961688</v>
      </c>
      <c r="J167" s="81">
        <f t="shared" si="351"/>
        <v>8129088.8677842868</v>
      </c>
      <c r="K167" s="81">
        <f t="shared" si="351"/>
        <v>7084103.4535092982</v>
      </c>
      <c r="L167" s="81">
        <f t="shared" ref="L167:AT167" si="352">L149+L153+SUM(L159:L166)</f>
        <v>8330653.3277049009</v>
      </c>
      <c r="M167" s="81">
        <f t="shared" si="352"/>
        <v>8140957.2197062215</v>
      </c>
      <c r="N167" s="81">
        <f t="shared" si="352"/>
        <v>8370230.6978961807</v>
      </c>
      <c r="O167" s="81">
        <f t="shared" si="352"/>
        <v>7209436.0212631915</v>
      </c>
      <c r="P167" s="81">
        <f t="shared" si="352"/>
        <v>9794764.6743662469</v>
      </c>
      <c r="Q167" s="81">
        <f t="shared" si="352"/>
        <v>9636723.0818260405</v>
      </c>
      <c r="R167" s="81">
        <f t="shared" si="352"/>
        <v>9874818.4264749847</v>
      </c>
      <c r="S167" s="81">
        <f t="shared" si="352"/>
        <v>8595746.5239128564</v>
      </c>
      <c r="T167" s="81">
        <f t="shared" si="352"/>
        <v>10814034.653090788</v>
      </c>
      <c r="U167" s="81">
        <f t="shared" si="352"/>
        <v>10655342.505449679</v>
      </c>
      <c r="V167" s="81">
        <f t="shared" si="352"/>
        <v>10903136.629135503</v>
      </c>
      <c r="W167" s="81">
        <f t="shared" si="352"/>
        <v>9493849.8901380319</v>
      </c>
      <c r="X167" s="81">
        <f t="shared" si="352"/>
        <v>11938493.024002174</v>
      </c>
      <c r="Y167" s="81">
        <f t="shared" si="352"/>
        <v>11779142.945957731</v>
      </c>
      <c r="Z167" s="81">
        <f t="shared" si="352"/>
        <v>12037600.188812723</v>
      </c>
      <c r="AA167" s="81">
        <f t="shared" si="352"/>
        <v>10484961.747427417</v>
      </c>
      <c r="AB167" s="81">
        <f t="shared" si="352"/>
        <v>12318532.61562274</v>
      </c>
      <c r="AC167" s="81">
        <f t="shared" si="352"/>
        <v>11487157.250369785</v>
      </c>
      <c r="AD167" s="81">
        <f t="shared" si="352"/>
        <v>11718740.844039302</v>
      </c>
      <c r="AE167" s="81">
        <f t="shared" si="352"/>
        <v>10252643.873665307</v>
      </c>
      <c r="AF167" s="81">
        <f t="shared" si="352"/>
        <v>12796846.219287729</v>
      </c>
      <c r="AG167" s="81">
        <f t="shared" si="352"/>
        <v>12659121.259296874</v>
      </c>
      <c r="AH167" s="81">
        <f t="shared" si="352"/>
        <v>12901753.315259909</v>
      </c>
      <c r="AI167" s="81">
        <f t="shared" si="352"/>
        <v>11157111.007823225</v>
      </c>
      <c r="AJ167" s="81">
        <f t="shared" si="352"/>
        <v>13888489.957694374</v>
      </c>
      <c r="AK167" s="81">
        <f t="shared" si="352"/>
        <v>13636786.62088616</v>
      </c>
      <c r="AL167" s="81">
        <f t="shared" si="352"/>
        <v>17332585.012633264</v>
      </c>
      <c r="AM167" s="81">
        <f t="shared" si="352"/>
        <v>15175190.296009362</v>
      </c>
      <c r="AN167" s="81">
        <f t="shared" si="352"/>
        <v>18922745.468513105</v>
      </c>
      <c r="AO167" s="81">
        <f t="shared" si="352"/>
        <v>18785462.766700376</v>
      </c>
      <c r="AP167" s="81">
        <f t="shared" si="352"/>
        <v>19083722.007236969</v>
      </c>
      <c r="AQ167" s="81">
        <f t="shared" si="352"/>
        <v>16708063.356432505</v>
      </c>
      <c r="AR167" s="81">
        <f t="shared" si="352"/>
        <v>20835325.499131519</v>
      </c>
      <c r="AS167" s="81">
        <f t="shared" si="352"/>
        <v>20697639.618477464</v>
      </c>
      <c r="AT167" s="81">
        <f t="shared" si="352"/>
        <v>21013597.563468065</v>
      </c>
      <c r="AU167" s="81">
        <f t="shared" ref="AU167:BB167" si="353">AU149+AU153+SUM(AU159:AU166)</f>
        <v>18397722.361939073</v>
      </c>
      <c r="AV167" s="81">
        <f t="shared" si="353"/>
        <v>22942909.74450013</v>
      </c>
      <c r="AW167" s="81">
        <f t="shared" si="353"/>
        <v>22804846.621687606</v>
      </c>
      <c r="AX167" s="81">
        <f t="shared" si="353"/>
        <v>23140266.780597642</v>
      </c>
      <c r="AY167" s="81">
        <f t="shared" si="353"/>
        <v>20260020.838989466</v>
      </c>
      <c r="AZ167" s="81">
        <f t="shared" si="353"/>
        <v>25257205.341742463</v>
      </c>
      <c r="BA167" s="81">
        <f t="shared" si="353"/>
        <v>25121566.125155851</v>
      </c>
      <c r="BB167" s="81">
        <f t="shared" si="353"/>
        <v>25479319.205472209</v>
      </c>
      <c r="BD167" s="508" t="s">
        <v>27</v>
      </c>
      <c r="BE167" s="509">
        <f>SUMIF($H$2:$BB$2,BE$2,$H167:$BB167)</f>
        <v>31684802.868704706</v>
      </c>
      <c r="BF167" s="509">
        <f t="shared" si="350"/>
        <v>35011154.475351661</v>
      </c>
      <c r="BG167" s="509">
        <f t="shared" si="350"/>
        <v>39939942.108928308</v>
      </c>
      <c r="BH167" s="509">
        <f t="shared" si="350"/>
        <v>44114622.489233434</v>
      </c>
      <c r="BI167" s="509">
        <f t="shared" si="350"/>
        <v>46328251.802232668</v>
      </c>
      <c r="BJ167" s="509">
        <f t="shared" si="350"/>
        <v>47427352.196289212</v>
      </c>
      <c r="BK167" s="509">
        <f t="shared" si="350"/>
        <v>51584140.901663668</v>
      </c>
      <c r="BL167" s="509">
        <f t="shared" si="350"/>
        <v>70215983.543856099</v>
      </c>
      <c r="BM167" s="509">
        <f t="shared" si="350"/>
        <v>77324750.481278449</v>
      </c>
      <c r="BN167" s="509">
        <f>SUMIF($H$2:$BB$2,BN$2,$H167:$BB167)</f>
        <v>85159076.291594878</v>
      </c>
    </row>
    <row r="168" spans="1:74" s="88" customFormat="1" ht="5.4" customHeight="1">
      <c r="A168" s="5"/>
      <c r="B168" s="73"/>
      <c r="D168" s="74"/>
      <c r="E168" s="154"/>
      <c r="F168" s="170"/>
      <c r="G168" s="170"/>
      <c r="H168" s="393"/>
      <c r="I168" s="393"/>
      <c r="J168" s="393"/>
      <c r="K168" s="393"/>
      <c r="L168" s="484"/>
      <c r="M168" s="484"/>
      <c r="N168" s="484"/>
      <c r="O168" s="484"/>
      <c r="P168" s="484"/>
      <c r="Q168" s="484"/>
      <c r="R168" s="484"/>
      <c r="S168" s="484"/>
      <c r="T168" s="484"/>
      <c r="U168" s="484"/>
      <c r="V168" s="484"/>
      <c r="W168" s="484"/>
      <c r="X168" s="484"/>
      <c r="Y168" s="484"/>
      <c r="Z168" s="484"/>
      <c r="AA168" s="484"/>
      <c r="AB168" s="484"/>
      <c r="AC168" s="484"/>
      <c r="AD168" s="484"/>
      <c r="AE168" s="484"/>
      <c r="AF168" s="484"/>
      <c r="AG168" s="484"/>
      <c r="AH168" s="484"/>
      <c r="AI168" s="484"/>
      <c r="AJ168" s="484"/>
      <c r="AK168" s="484"/>
      <c r="AL168" s="484"/>
      <c r="AM168" s="484"/>
      <c r="AN168" s="484"/>
      <c r="AO168" s="484"/>
      <c r="AP168" s="484"/>
      <c r="AQ168" s="484"/>
      <c r="AR168" s="484"/>
      <c r="AS168" s="484"/>
      <c r="AT168" s="484"/>
      <c r="AU168" s="484"/>
      <c r="AV168" s="484"/>
      <c r="AW168" s="484"/>
      <c r="AX168" s="484"/>
      <c r="AY168" s="484"/>
      <c r="AZ168" s="484"/>
      <c r="BA168" s="484"/>
      <c r="BB168" s="484"/>
      <c r="BD168" s="500"/>
      <c r="BE168" s="501"/>
      <c r="BF168" s="501"/>
      <c r="BG168" s="501"/>
      <c r="BH168" s="501"/>
      <c r="BI168" s="501"/>
      <c r="BJ168" s="501"/>
      <c r="BK168" s="501"/>
      <c r="BL168" s="501"/>
      <c r="BM168" s="501"/>
      <c r="BN168" s="501"/>
    </row>
    <row r="169" spans="1:74" s="62" customFormat="1" ht="15.6" outlineLevel="1">
      <c r="B169" s="62" t="s">
        <v>28</v>
      </c>
      <c r="E169" s="155"/>
      <c r="F169" s="392">
        <f>SUM(G141:J141)/F170</f>
        <v>0.10117565854776532</v>
      </c>
      <c r="G169" s="392">
        <f>SUM(H141:K141)/G170</f>
        <v>9.3862119526409354E-2</v>
      </c>
      <c r="H169" s="393">
        <f>SUM(I141:L141)/H170</f>
        <v>9.4060831677941298E-2</v>
      </c>
      <c r="I169" s="482">
        <v>8.7499999999999994E-2</v>
      </c>
      <c r="J169" s="482">
        <v>8.7499999999999994E-2</v>
      </c>
      <c r="K169" s="482">
        <v>8.7499999999999994E-2</v>
      </c>
      <c r="L169" s="488">
        <f>C51</f>
        <v>8.5000000000000006E-2</v>
      </c>
      <c r="M169" s="393">
        <f>L169</f>
        <v>8.5000000000000006E-2</v>
      </c>
      <c r="N169" s="393">
        <f t="shared" ref="N169:AU169" si="354">M169</f>
        <v>8.5000000000000006E-2</v>
      </c>
      <c r="O169" s="393">
        <f t="shared" si="354"/>
        <v>8.5000000000000006E-2</v>
      </c>
      <c r="P169" s="393">
        <f t="shared" si="354"/>
        <v>8.5000000000000006E-2</v>
      </c>
      <c r="Q169" s="393">
        <f t="shared" si="354"/>
        <v>8.5000000000000006E-2</v>
      </c>
      <c r="R169" s="393">
        <f t="shared" si="354"/>
        <v>8.5000000000000006E-2</v>
      </c>
      <c r="S169" s="393">
        <f t="shared" si="354"/>
        <v>8.5000000000000006E-2</v>
      </c>
      <c r="T169" s="393">
        <f t="shared" si="354"/>
        <v>8.5000000000000006E-2</v>
      </c>
      <c r="U169" s="393">
        <f t="shared" si="354"/>
        <v>8.5000000000000006E-2</v>
      </c>
      <c r="V169" s="393">
        <f t="shared" si="354"/>
        <v>8.5000000000000006E-2</v>
      </c>
      <c r="W169" s="393">
        <f t="shared" si="354"/>
        <v>8.5000000000000006E-2</v>
      </c>
      <c r="X169" s="393">
        <f t="shared" si="354"/>
        <v>8.5000000000000006E-2</v>
      </c>
      <c r="Y169" s="393">
        <f t="shared" si="354"/>
        <v>8.5000000000000006E-2</v>
      </c>
      <c r="Z169" s="393">
        <f t="shared" si="354"/>
        <v>8.5000000000000006E-2</v>
      </c>
      <c r="AA169" s="393">
        <f t="shared" si="354"/>
        <v>8.5000000000000006E-2</v>
      </c>
      <c r="AB169" s="393">
        <f t="shared" si="354"/>
        <v>8.5000000000000006E-2</v>
      </c>
      <c r="AC169" s="393">
        <f t="shared" si="354"/>
        <v>8.5000000000000006E-2</v>
      </c>
      <c r="AD169" s="393">
        <f t="shared" si="354"/>
        <v>8.5000000000000006E-2</v>
      </c>
      <c r="AE169" s="393">
        <f t="shared" si="354"/>
        <v>8.5000000000000006E-2</v>
      </c>
      <c r="AF169" s="393">
        <f t="shared" si="354"/>
        <v>8.5000000000000006E-2</v>
      </c>
      <c r="AG169" s="393">
        <f t="shared" si="354"/>
        <v>8.5000000000000006E-2</v>
      </c>
      <c r="AH169" s="393">
        <f t="shared" si="354"/>
        <v>8.5000000000000006E-2</v>
      </c>
      <c r="AI169" s="393">
        <f t="shared" si="354"/>
        <v>8.5000000000000006E-2</v>
      </c>
      <c r="AJ169" s="393">
        <f t="shared" si="354"/>
        <v>8.5000000000000006E-2</v>
      </c>
      <c r="AK169" s="393">
        <f t="shared" si="354"/>
        <v>8.5000000000000006E-2</v>
      </c>
      <c r="AL169" s="393">
        <f t="shared" si="354"/>
        <v>8.5000000000000006E-2</v>
      </c>
      <c r="AM169" s="393">
        <f t="shared" si="354"/>
        <v>8.5000000000000006E-2</v>
      </c>
      <c r="AN169" s="393">
        <f t="shared" si="354"/>
        <v>8.5000000000000006E-2</v>
      </c>
      <c r="AO169" s="393">
        <f t="shared" si="354"/>
        <v>8.5000000000000006E-2</v>
      </c>
      <c r="AP169" s="393">
        <f t="shared" si="354"/>
        <v>8.5000000000000006E-2</v>
      </c>
      <c r="AQ169" s="393">
        <f t="shared" si="354"/>
        <v>8.5000000000000006E-2</v>
      </c>
      <c r="AR169" s="393">
        <f t="shared" si="354"/>
        <v>8.5000000000000006E-2</v>
      </c>
      <c r="AS169" s="393">
        <f t="shared" si="354"/>
        <v>8.5000000000000006E-2</v>
      </c>
      <c r="AT169" s="393">
        <f t="shared" si="354"/>
        <v>8.5000000000000006E-2</v>
      </c>
      <c r="AU169" s="393">
        <f t="shared" si="354"/>
        <v>8.5000000000000006E-2</v>
      </c>
      <c r="AV169" s="393">
        <f t="shared" ref="AV169:BB169" si="355">AU169</f>
        <v>8.5000000000000006E-2</v>
      </c>
      <c r="AW169" s="393">
        <f t="shared" si="355"/>
        <v>8.5000000000000006E-2</v>
      </c>
      <c r="AX169" s="393">
        <f t="shared" si="355"/>
        <v>8.5000000000000006E-2</v>
      </c>
      <c r="AY169" s="393">
        <f t="shared" si="355"/>
        <v>8.5000000000000006E-2</v>
      </c>
      <c r="AZ169" s="393">
        <f t="shared" si="355"/>
        <v>8.5000000000000006E-2</v>
      </c>
      <c r="BA169" s="393">
        <f t="shared" si="355"/>
        <v>8.5000000000000006E-2</v>
      </c>
      <c r="BB169" s="393">
        <f t="shared" si="355"/>
        <v>8.5000000000000006E-2</v>
      </c>
      <c r="BD169" s="514" t="s">
        <v>28</v>
      </c>
      <c r="BE169" s="515">
        <f>AVERAGEIF($I$2:$AW$2,BE$2,$I169:$AW169)</f>
        <v>8.6250000000000007E-2</v>
      </c>
      <c r="BF169" s="515">
        <f t="shared" ref="BF169:BN169" si="356">AVERAGEIF($I$2:$AW$2,BF$2,$I169:$AW169)</f>
        <v>8.5000000000000006E-2</v>
      </c>
      <c r="BG169" s="515">
        <f t="shared" si="356"/>
        <v>8.5000000000000006E-2</v>
      </c>
      <c r="BH169" s="515">
        <f t="shared" si="356"/>
        <v>8.5000000000000006E-2</v>
      </c>
      <c r="BI169" s="515">
        <f t="shared" si="356"/>
        <v>8.5000000000000006E-2</v>
      </c>
      <c r="BJ169" s="515">
        <f t="shared" si="356"/>
        <v>8.5000000000000006E-2</v>
      </c>
      <c r="BK169" s="515">
        <f t="shared" si="356"/>
        <v>8.5000000000000006E-2</v>
      </c>
      <c r="BL169" s="515">
        <f t="shared" si="356"/>
        <v>8.5000000000000006E-2</v>
      </c>
      <c r="BM169" s="515">
        <f t="shared" si="356"/>
        <v>8.5000000000000006E-2</v>
      </c>
      <c r="BN169" s="515">
        <f t="shared" si="356"/>
        <v>8.5000000000000006E-2</v>
      </c>
    </row>
    <row r="170" spans="1:74" s="93" customFormat="1" ht="15.6" outlineLevel="1">
      <c r="B170" s="93" t="s">
        <v>37</v>
      </c>
      <c r="E170" s="161"/>
      <c r="F170" s="180">
        <f>$C$6</f>
        <v>375000000</v>
      </c>
      <c r="G170" s="180">
        <f>G174+G173-H164-G184</f>
        <v>414038310.40999997</v>
      </c>
      <c r="H170" s="483">
        <f>H174+H173-H184</f>
        <v>433009061.24390149</v>
      </c>
      <c r="I170" s="483">
        <f>SUM(J141:M141)/I169</f>
        <v>477876870.75432509</v>
      </c>
      <c r="J170" s="483">
        <f>SUM(K141:N141)/J169</f>
        <v>490419849.5646823</v>
      </c>
      <c r="K170" s="483">
        <f>SUM(L141:O141)/K169</f>
        <v>501970074.44575834</v>
      </c>
      <c r="L170" s="483">
        <f>SUM(M141:P141)/L169</f>
        <v>530787332.61893642</v>
      </c>
      <c r="M170" s="483">
        <f t="shared" ref="M170:AO170" si="357">SUM(N141:Q141)/M169</f>
        <v>544874869.92281735</v>
      </c>
      <c r="N170" s="483">
        <f t="shared" si="357"/>
        <v>559123872.72725928</v>
      </c>
      <c r="O170" s="483">
        <f t="shared" si="357"/>
        <v>572248727.70001531</v>
      </c>
      <c r="P170" s="483">
        <f t="shared" si="357"/>
        <v>587754915.124686</v>
      </c>
      <c r="Q170" s="483">
        <f t="shared" si="357"/>
        <v>603299426.2092458</v>
      </c>
      <c r="R170" s="483">
        <f t="shared" si="357"/>
        <v>619021549.34442294</v>
      </c>
      <c r="S170" s="483">
        <f t="shared" si="357"/>
        <v>633507109.86474526</v>
      </c>
      <c r="T170" s="483">
        <f t="shared" si="357"/>
        <v>650613698.34320319</v>
      </c>
      <c r="U170" s="483">
        <f t="shared" si="357"/>
        <v>667763291.58902454</v>
      </c>
      <c r="V170" s="483">
        <f t="shared" si="357"/>
        <v>685108258.09052455</v>
      </c>
      <c r="W170" s="483">
        <f t="shared" si="357"/>
        <v>701093005.71568441</v>
      </c>
      <c r="X170" s="483">
        <f t="shared" si="357"/>
        <v>719962524.46887469</v>
      </c>
      <c r="Y170" s="483">
        <f t="shared" si="357"/>
        <v>738880239.64472389</v>
      </c>
      <c r="Z170" s="483">
        <f t="shared" si="357"/>
        <v>758012865.40181959</v>
      </c>
      <c r="AA170" s="483">
        <f t="shared" si="357"/>
        <v>775649250.39494121</v>
      </c>
      <c r="AB170" s="483">
        <f t="shared" si="357"/>
        <v>796460606.02168107</v>
      </c>
      <c r="AC170" s="483">
        <f t="shared" si="357"/>
        <v>817325913.45083284</v>
      </c>
      <c r="AD170" s="483">
        <f t="shared" si="357"/>
        <v>838427622.51935613</v>
      </c>
      <c r="AE170" s="483">
        <f t="shared" si="357"/>
        <v>857883466.74750793</v>
      </c>
      <c r="AF170" s="483">
        <f t="shared" si="357"/>
        <v>880833587.18506372</v>
      </c>
      <c r="AG170" s="483">
        <f t="shared" si="357"/>
        <v>903844037.12963474</v>
      </c>
      <c r="AH170" s="483">
        <f t="shared" si="357"/>
        <v>982876196.87925041</v>
      </c>
      <c r="AI170" s="483">
        <f t="shared" si="357"/>
        <v>1055977567.8075278</v>
      </c>
      <c r="AJ170" s="483">
        <f t="shared" si="357"/>
        <v>1141767359.1195273</v>
      </c>
      <c r="AK170" s="483">
        <f t="shared" si="357"/>
        <v>1227827230.0174501</v>
      </c>
      <c r="AL170" s="483">
        <f t="shared" si="357"/>
        <v>1259062480.1014199</v>
      </c>
      <c r="AM170" s="483">
        <f t="shared" si="357"/>
        <v>1287894199.9788475</v>
      </c>
      <c r="AN170" s="483">
        <f t="shared" si="357"/>
        <v>1321842358.5479848</v>
      </c>
      <c r="AO170" s="483">
        <f t="shared" si="357"/>
        <v>1355886002.4171197</v>
      </c>
      <c r="AP170" s="483">
        <f>SUM(AQ141:AT141)/AP169</f>
        <v>1390309396.988672</v>
      </c>
      <c r="AQ170" s="483">
        <f>SUM(AR141:AU141)/AQ169</f>
        <v>1422088908.3330278</v>
      </c>
      <c r="AR170" s="483">
        <f t="shared" ref="AR170:AX170" si="358">SUM(AS141:AV141)/AR169</f>
        <v>1459498595.8174593</v>
      </c>
      <c r="AS170" s="483">
        <f t="shared" si="358"/>
        <v>1497014454.5266526</v>
      </c>
      <c r="AT170" s="483">
        <f t="shared" si="358"/>
        <v>1534948039.0085051</v>
      </c>
      <c r="AU170" s="483">
        <f>SUM(AV141:AY141)/AU169</f>
        <v>1569973351.9404411</v>
      </c>
      <c r="AV170" s="483">
        <f t="shared" si="358"/>
        <v>1611194056.8846154</v>
      </c>
      <c r="AW170" s="483">
        <f>SUM(AX141:BA141)/AW169</f>
        <v>1652532744.4405298</v>
      </c>
      <c r="AX170" s="483">
        <f t="shared" si="358"/>
        <v>1694330930.3463695</v>
      </c>
      <c r="AY170" s="483">
        <f>AX170*(1+AX171)</f>
        <v>1737186334.846453</v>
      </c>
      <c r="AZ170" s="483">
        <f t="shared" ref="AZ170:BB170" si="359">AY170*(1+AY171)</f>
        <v>1781125698.6026483</v>
      </c>
      <c r="BA170" s="483">
        <f t="shared" si="359"/>
        <v>1826176438.6393104</v>
      </c>
      <c r="BB170" s="483">
        <f t="shared" si="359"/>
        <v>1872366665.450793</v>
      </c>
      <c r="BD170" s="516" t="s">
        <v>37</v>
      </c>
      <c r="BE170" s="507">
        <f>_xlfn.MAXIFS($I170:$AW170,$I$2:$AW$2,BE$2)</f>
        <v>544874869.92281735</v>
      </c>
      <c r="BF170" s="507">
        <f t="shared" ref="BF170:BN170" si="360">_xlfn.MAXIFS($I170:$AW170,$I$2:$AW$2,BF$2)</f>
        <v>603299426.2092458</v>
      </c>
      <c r="BG170" s="507">
        <f t="shared" si="360"/>
        <v>667763291.58902454</v>
      </c>
      <c r="BH170" s="507">
        <f t="shared" si="360"/>
        <v>738880239.64472389</v>
      </c>
      <c r="BI170" s="507">
        <f t="shared" si="360"/>
        <v>817325913.45083284</v>
      </c>
      <c r="BJ170" s="507">
        <f t="shared" si="360"/>
        <v>903844037.12963474</v>
      </c>
      <c r="BK170" s="507">
        <f t="shared" si="360"/>
        <v>1227827230.0174501</v>
      </c>
      <c r="BL170" s="507">
        <f t="shared" si="360"/>
        <v>1355886002.4171197</v>
      </c>
      <c r="BM170" s="507">
        <f t="shared" si="360"/>
        <v>1497014454.5266526</v>
      </c>
      <c r="BN170" s="507">
        <f t="shared" si="360"/>
        <v>1652532744.4405298</v>
      </c>
    </row>
    <row r="171" spans="1:74" s="119" customFormat="1" ht="15.6">
      <c r="A171" s="118"/>
      <c r="B171" s="112" t="s">
        <v>39</v>
      </c>
      <c r="D171" s="76"/>
      <c r="E171" s="154"/>
      <c r="F171" s="181"/>
      <c r="G171" s="181">
        <f t="shared" ref="G171:L171" si="361">G170/F170-1</f>
        <v>0.10410216109333326</v>
      </c>
      <c r="H171" s="484">
        <f>H170/G170-1</f>
        <v>4.581882969987916E-2</v>
      </c>
      <c r="I171" s="484">
        <f>I170/H170-1</f>
        <v>0.10361863879137356</v>
      </c>
      <c r="J171" s="484">
        <f t="shared" si="361"/>
        <v>2.6247302554229579E-2</v>
      </c>
      <c r="K171" s="484">
        <f t="shared" si="361"/>
        <v>2.3551707565117042E-2</v>
      </c>
      <c r="L171" s="484">
        <f t="shared" si="361"/>
        <v>5.7408319021798659E-2</v>
      </c>
      <c r="M171" s="484">
        <f t="shared" ref="M171:AD171" si="362">M170/L170-1</f>
        <v>2.6540831776018736E-2</v>
      </c>
      <c r="N171" s="484">
        <f t="shared" si="362"/>
        <v>2.6150963443148489E-2</v>
      </c>
      <c r="O171" s="484">
        <f>O170/N170-1</f>
        <v>2.3473966347987263E-2</v>
      </c>
      <c r="P171" s="484">
        <f t="shared" si="362"/>
        <v>2.7096936478991029E-2</v>
      </c>
      <c r="Q171" s="484">
        <f t="shared" si="362"/>
        <v>2.6447266853161455E-2</v>
      </c>
      <c r="R171" s="484">
        <f t="shared" si="362"/>
        <v>2.6060232203377165E-2</v>
      </c>
      <c r="S171" s="484">
        <f t="shared" si="362"/>
        <v>2.3400737075572442E-2</v>
      </c>
      <c r="T171" s="484">
        <f t="shared" si="362"/>
        <v>2.7002993671389364E-2</v>
      </c>
      <c r="U171" s="484">
        <f t="shared" si="362"/>
        <v>2.6359102628015663E-2</v>
      </c>
      <c r="V171" s="484">
        <f t="shared" si="362"/>
        <v>2.5974722959426932E-2</v>
      </c>
      <c r="W171" s="484">
        <f t="shared" si="362"/>
        <v>2.3331710625866808E-2</v>
      </c>
      <c r="X171" s="484">
        <f t="shared" si="362"/>
        <v>2.6914430181667504E-2</v>
      </c>
      <c r="Y171" s="484">
        <f t="shared" si="362"/>
        <v>2.6275972058136032E-2</v>
      </c>
      <c r="Z171" s="484">
        <f t="shared" si="362"/>
        <v>2.5894082329627865E-2</v>
      </c>
      <c r="AA171" s="484">
        <f t="shared" si="362"/>
        <v>2.3266603771655792E-2</v>
      </c>
      <c r="AB171" s="484">
        <f t="shared" si="362"/>
        <v>2.6830884728043403E-2</v>
      </c>
      <c r="AC171" s="484">
        <f t="shared" si="362"/>
        <v>2.6197538549174393E-2</v>
      </c>
      <c r="AD171" s="484">
        <f t="shared" si="362"/>
        <v>2.5817986094959E-2</v>
      </c>
      <c r="AE171" s="484">
        <f t="shared" ref="AE171" si="363">AE170/AD170-1</f>
        <v>2.3205156540155203E-2</v>
      </c>
      <c r="AF171" s="484">
        <f t="shared" ref="AF171" si="364">AF170/AE170-1</f>
        <v>2.6752025568888227E-2</v>
      </c>
      <c r="AG171" s="484">
        <f t="shared" ref="AG171" si="365">AG170/AF170-1</f>
        <v>2.6123492881449994E-2</v>
      </c>
      <c r="AH171" s="484">
        <f t="shared" ref="AH171" si="366">AH170/AG170-1</f>
        <v>8.7440041094479559E-2</v>
      </c>
      <c r="AI171" s="484">
        <f t="shared" ref="AI171" si="367">AI170/AH170-1</f>
        <v>7.4374952980225784E-2</v>
      </c>
      <c r="AJ171" s="484">
        <f t="shared" ref="AJ171" si="368">AJ170/AI170-1</f>
        <v>8.1242058474897849E-2</v>
      </c>
      <c r="AK171" s="484">
        <f t="shared" ref="AK171" si="369">AK170/AJ170-1</f>
        <v>7.5374260974046203E-2</v>
      </c>
      <c r="AL171" s="484">
        <f t="shared" ref="AL171" si="370">AL170/AK170-1</f>
        <v>2.5439450535337915E-2</v>
      </c>
      <c r="AM171" s="484">
        <f t="shared" ref="AM171" si="371">AM170/AL170-1</f>
        <v>2.2899355935938281E-2</v>
      </c>
      <c r="AN171" s="484">
        <f t="shared" ref="AN171" si="372">AN170/AM170-1</f>
        <v>2.6359431209252104E-2</v>
      </c>
      <c r="AO171" s="484">
        <f t="shared" ref="AO171" si="373">AO170/AN170-1</f>
        <v>2.5754692795993517E-2</v>
      </c>
      <c r="AP171" s="484">
        <f t="shared" ref="AP171:AQ171" si="374">AP170/AO170-1</f>
        <v>2.5388118551401995E-2</v>
      </c>
      <c r="AQ171" s="484">
        <f t="shared" si="374"/>
        <v>2.2857869919593599E-2</v>
      </c>
      <c r="AR171" s="484">
        <f t="shared" ref="AR171" si="375">AR170/AQ170-1</f>
        <v>2.6306152354625301E-2</v>
      </c>
      <c r="AS171" s="484">
        <f t="shared" ref="AS171" si="376">AS170/AR170-1</f>
        <v>2.5704621310841835E-2</v>
      </c>
      <c r="AT171" s="484">
        <f t="shared" ref="AT171" si="377">AT170/AS170-1</f>
        <v>2.5339491123248292E-2</v>
      </c>
      <c r="AU171" s="484">
        <f t="shared" ref="AU171" si="378">AU170/AT170-1</f>
        <v>2.2818565867910756E-2</v>
      </c>
      <c r="AV171" s="484">
        <f t="shared" ref="AV171" si="379">AV170/AU170-1</f>
        <v>2.6255671724126239E-2</v>
      </c>
      <c r="AW171" s="484">
        <f>AW170/AV170-1</f>
        <v>2.5657174801058114E-2</v>
      </c>
      <c r="AX171" s="484">
        <f t="shared" ref="AX171" si="380">AX170/AW170-1</f>
        <v>2.5293408585371546E-2</v>
      </c>
      <c r="AY171" s="484">
        <f t="shared" ref="AY171" si="381">AY170/AX170-1</f>
        <v>2.5293408585371546E-2</v>
      </c>
      <c r="AZ171" s="484">
        <f t="shared" ref="AZ171" si="382">AZ170/AY170-1</f>
        <v>2.5293408585371546E-2</v>
      </c>
      <c r="BA171" s="484">
        <f t="shared" ref="BA171" si="383">BA170/AZ170-1</f>
        <v>2.5293408585371546E-2</v>
      </c>
      <c r="BB171" s="484">
        <f t="shared" ref="BB171" si="384">BB170/BA170-1</f>
        <v>2.5293408585371546E-2</v>
      </c>
      <c r="BD171" s="500" t="s">
        <v>379</v>
      </c>
      <c r="BE171" s="501">
        <f>M170/I170-1</f>
        <v>0.14019929247200524</v>
      </c>
      <c r="BF171" s="501">
        <f>BF170/BE170-1</f>
        <v>0.10722563933753149</v>
      </c>
      <c r="BG171" s="501">
        <f t="shared" ref="BG171:BN171" si="385">BG170/BF170-1</f>
        <v>0.10685219076840347</v>
      </c>
      <c r="BH171" s="501">
        <f t="shared" si="385"/>
        <v>0.10650023586422042</v>
      </c>
      <c r="BI171" s="501">
        <f t="shared" si="385"/>
        <v>0.10616832011075039</v>
      </c>
      <c r="BJ171" s="501">
        <f t="shared" si="385"/>
        <v>0.10585510902684292</v>
      </c>
      <c r="BK171" s="501">
        <f t="shared" si="385"/>
        <v>0.35845032945805411</v>
      </c>
      <c r="BL171" s="501">
        <f t="shared" si="385"/>
        <v>0.10429706172736508</v>
      </c>
      <c r="BM171" s="501">
        <f t="shared" si="385"/>
        <v>0.10408577996818691</v>
      </c>
      <c r="BN171" s="501">
        <f t="shared" si="385"/>
        <v>0.10388563012442731</v>
      </c>
    </row>
    <row r="172" spans="1:74" s="88" customFormat="1" ht="5.4" customHeight="1">
      <c r="A172" s="5"/>
      <c r="B172" s="73"/>
      <c r="D172" s="74"/>
      <c r="E172" s="154"/>
      <c r="F172" s="170"/>
      <c r="G172" s="170"/>
      <c r="H172" s="484"/>
      <c r="I172" s="484"/>
      <c r="J172" s="484"/>
      <c r="K172" s="484"/>
      <c r="L172" s="484"/>
      <c r="M172" s="484"/>
      <c r="N172" s="484"/>
      <c r="O172" s="484"/>
      <c r="P172" s="484"/>
      <c r="Q172" s="484"/>
      <c r="R172" s="484"/>
      <c r="S172" s="484"/>
      <c r="T172" s="484"/>
      <c r="U172" s="484"/>
      <c r="V172" s="484"/>
      <c r="W172" s="484"/>
      <c r="X172" s="484"/>
      <c r="Y172" s="484"/>
      <c r="Z172" s="484"/>
      <c r="AA172" s="484"/>
      <c r="AB172" s="484"/>
      <c r="AC172" s="484"/>
      <c r="AD172" s="484"/>
      <c r="AE172" s="484"/>
      <c r="AF172" s="484"/>
      <c r="AG172" s="484"/>
      <c r="AH172" s="484"/>
      <c r="AI172" s="484"/>
      <c r="AJ172" s="484"/>
      <c r="AK172" s="484"/>
      <c r="AL172" s="484"/>
      <c r="AM172" s="484"/>
      <c r="AN172" s="484"/>
      <c r="AO172" s="484"/>
      <c r="AP172" s="484"/>
      <c r="AQ172" s="484"/>
      <c r="AR172" s="484"/>
      <c r="AS172" s="484"/>
      <c r="AT172" s="484"/>
      <c r="AU172" s="484"/>
      <c r="AV172" s="484"/>
      <c r="AW172" s="484"/>
      <c r="AX172" s="484"/>
      <c r="AY172" s="484"/>
      <c r="AZ172" s="484"/>
      <c r="BA172" s="484"/>
      <c r="BB172" s="484"/>
      <c r="BD172" s="500"/>
      <c r="BE172" s="501"/>
      <c r="BF172" s="501"/>
      <c r="BG172" s="501"/>
      <c r="BH172" s="501"/>
      <c r="BI172" s="501"/>
      <c r="BJ172" s="501"/>
      <c r="BK172" s="501"/>
      <c r="BL172" s="501"/>
      <c r="BM172" s="501"/>
      <c r="BN172" s="501"/>
    </row>
    <row r="173" spans="1:74" ht="15.6">
      <c r="B173" s="62" t="s">
        <v>54</v>
      </c>
      <c r="C173" s="62"/>
      <c r="D173" s="62"/>
      <c r="E173" s="154"/>
      <c r="F173" s="180">
        <f>SUM(G62:G67,J73)</f>
        <v>303782384</v>
      </c>
      <c r="G173" s="180">
        <f>SUM(H62:H67,J76)</f>
        <v>290981589.31</v>
      </c>
      <c r="H173" s="483">
        <f>J79 + H103+H107+H114+H119</f>
        <v>80844261.524590164</v>
      </c>
      <c r="I173" s="483">
        <f>I82 + I103+I107+I114+I119</f>
        <v>0</v>
      </c>
      <c r="J173" s="483">
        <f>I173+J161+J162</f>
        <v>0</v>
      </c>
      <c r="K173" s="483">
        <f t="shared" ref="K173:AD173" si="386">J173+K161+K162</f>
        <v>0</v>
      </c>
      <c r="L173" s="483">
        <f t="shared" si="386"/>
        <v>0</v>
      </c>
      <c r="M173" s="483">
        <f t="shared" si="386"/>
        <v>0</v>
      </c>
      <c r="N173" s="483">
        <f t="shared" si="386"/>
        <v>0</v>
      </c>
      <c r="O173" s="483">
        <f>N173+O161+O162</f>
        <v>0</v>
      </c>
      <c r="P173" s="483">
        <f t="shared" si="386"/>
        <v>0</v>
      </c>
      <c r="Q173" s="483">
        <f t="shared" si="386"/>
        <v>0</v>
      </c>
      <c r="R173" s="483">
        <f t="shared" si="386"/>
        <v>0</v>
      </c>
      <c r="S173" s="483">
        <f t="shared" si="386"/>
        <v>0</v>
      </c>
      <c r="T173" s="483">
        <f t="shared" si="386"/>
        <v>0</v>
      </c>
      <c r="U173" s="483">
        <f t="shared" si="386"/>
        <v>0</v>
      </c>
      <c r="V173" s="483">
        <f t="shared" si="386"/>
        <v>0</v>
      </c>
      <c r="W173" s="483">
        <f t="shared" si="386"/>
        <v>0</v>
      </c>
      <c r="X173" s="483">
        <f t="shared" si="386"/>
        <v>0</v>
      </c>
      <c r="Y173" s="483">
        <f t="shared" si="386"/>
        <v>0</v>
      </c>
      <c r="Z173" s="483">
        <f t="shared" si="386"/>
        <v>0</v>
      </c>
      <c r="AA173" s="483">
        <f t="shared" si="386"/>
        <v>0</v>
      </c>
      <c r="AB173" s="483">
        <f t="shared" si="386"/>
        <v>0</v>
      </c>
      <c r="AC173" s="483">
        <f t="shared" si="386"/>
        <v>0</v>
      </c>
      <c r="AD173" s="483">
        <f t="shared" si="386"/>
        <v>0</v>
      </c>
      <c r="AE173" s="483">
        <f t="shared" ref="AE173" si="387">AD173+AE161+AE162</f>
        <v>0</v>
      </c>
      <c r="AF173" s="483">
        <f t="shared" ref="AF173" si="388">AE173+AF161+AF162</f>
        <v>0</v>
      </c>
      <c r="AG173" s="483">
        <f t="shared" ref="AG173" si="389">AF173+AG161+AG162</f>
        <v>0</v>
      </c>
      <c r="AH173" s="483">
        <f t="shared" ref="AH173" si="390">AG173+AH161+AH162</f>
        <v>0</v>
      </c>
      <c r="AI173" s="483">
        <f t="shared" ref="AI173" si="391">AH173+AI161+AI162</f>
        <v>0</v>
      </c>
      <c r="AJ173" s="483">
        <f t="shared" ref="AJ173" si="392">AI173+AJ161+AJ162</f>
        <v>0</v>
      </c>
      <c r="AK173" s="483">
        <f t="shared" ref="AK173" si="393">AJ173+AK161+AK162</f>
        <v>0</v>
      </c>
      <c r="AL173" s="483">
        <f t="shared" ref="AL173" si="394">AK173+AL161+AL162</f>
        <v>0</v>
      </c>
      <c r="AM173" s="483">
        <f t="shared" ref="AM173" si="395">AL173+AM161+AM162</f>
        <v>0</v>
      </c>
      <c r="AN173" s="483">
        <f t="shared" ref="AN173" si="396">AM173+AN161+AN162</f>
        <v>0</v>
      </c>
      <c r="AO173" s="483">
        <f t="shared" ref="AO173" si="397">AN173+AO161+AO162</f>
        <v>0</v>
      </c>
      <c r="AP173" s="483">
        <f t="shared" ref="AP173" si="398">AO173+AP161+AP162</f>
        <v>0</v>
      </c>
      <c r="AQ173" s="483">
        <f t="shared" ref="AQ173" si="399">AP173+AQ161+AQ162</f>
        <v>0</v>
      </c>
      <c r="AR173" s="483">
        <f t="shared" ref="AR173" si="400">AQ173+AR161+AR162</f>
        <v>0</v>
      </c>
      <c r="AS173" s="483">
        <f t="shared" ref="AS173" si="401">AR173+AS161+AS162</f>
        <v>0</v>
      </c>
      <c r="AT173" s="483">
        <f t="shared" ref="AT173:AU173" si="402">AS173+AT161+AT162</f>
        <v>0</v>
      </c>
      <c r="AU173" s="483">
        <f t="shared" si="402"/>
        <v>0</v>
      </c>
      <c r="AV173" s="483">
        <f t="shared" ref="AV173" si="403">AU173+AV161+AV162</f>
        <v>0</v>
      </c>
      <c r="AW173" s="483">
        <f t="shared" ref="AW173" si="404">AV173+AW161+AW162</f>
        <v>0</v>
      </c>
      <c r="AX173" s="483">
        <f t="shared" ref="AX173" si="405">AW173+AX161+AX162</f>
        <v>0</v>
      </c>
      <c r="AY173" s="483">
        <f t="shared" ref="AY173" si="406">AX173+AY161+AY162</f>
        <v>0</v>
      </c>
      <c r="AZ173" s="483">
        <f t="shared" ref="AZ173" si="407">AY173+AZ161+AZ162</f>
        <v>0</v>
      </c>
      <c r="BA173" s="483">
        <f t="shared" ref="BA173" si="408">AZ173+BA161+BA162</f>
        <v>0</v>
      </c>
      <c r="BB173" s="483">
        <f t="shared" ref="BB173" si="409">BA173+BB161+BB162</f>
        <v>0</v>
      </c>
      <c r="BD173" s="516" t="s">
        <v>54</v>
      </c>
      <c r="BE173" s="507">
        <f>_xlfn.MAXIFS($I173:$AW173,$I$2:$AW$2,BE$2)</f>
        <v>0</v>
      </c>
      <c r="BF173" s="507">
        <f t="shared" ref="BF173:BN175" si="410">_xlfn.MAXIFS($I173:$AW173,$I$2:$AW$2,BF$2)</f>
        <v>0</v>
      </c>
      <c r="BG173" s="507">
        <f t="shared" si="410"/>
        <v>0</v>
      </c>
      <c r="BH173" s="507">
        <f t="shared" si="410"/>
        <v>0</v>
      </c>
      <c r="BI173" s="507">
        <f t="shared" si="410"/>
        <v>0</v>
      </c>
      <c r="BJ173" s="507">
        <f t="shared" si="410"/>
        <v>0</v>
      </c>
      <c r="BK173" s="507">
        <f t="shared" si="410"/>
        <v>0</v>
      </c>
      <c r="BL173" s="507">
        <f t="shared" si="410"/>
        <v>0</v>
      </c>
      <c r="BM173" s="507">
        <f t="shared" si="410"/>
        <v>0</v>
      </c>
      <c r="BN173" s="507">
        <f t="shared" si="410"/>
        <v>0</v>
      </c>
    </row>
    <row r="174" spans="1:74" s="93" customFormat="1" ht="15.6">
      <c r="B174" s="93" t="s">
        <v>38</v>
      </c>
      <c r="E174" s="104">
        <f>E160</f>
        <v>434906000</v>
      </c>
      <c r="F174" s="180">
        <f>F160</f>
        <v>151400000</v>
      </c>
      <c r="G174" s="180">
        <f>F174+G160</f>
        <v>210221000</v>
      </c>
      <c r="H174" s="483">
        <f>G174+H160</f>
        <v>354906000</v>
      </c>
      <c r="I174" s="483">
        <f>I170-I173+I184</f>
        <v>479609474.0151099</v>
      </c>
      <c r="J174" s="483">
        <f t="shared" ref="J174:R174" si="411">J170-J173+J184</f>
        <v>492139141.69325143</v>
      </c>
      <c r="K174" s="483">
        <f>K170-K173+K184</f>
        <v>502631070.02783674</v>
      </c>
      <c r="L174" s="483">
        <f t="shared" si="411"/>
        <v>531636581.52871972</v>
      </c>
      <c r="M174" s="483">
        <f t="shared" si="411"/>
        <v>545722676.05230689</v>
      </c>
      <c r="N174" s="483">
        <f t="shared" si="411"/>
        <v>560199509.55464494</v>
      </c>
      <c r="O174" s="483">
        <f t="shared" si="411"/>
        <v>572391400.54866421</v>
      </c>
      <c r="P174" s="483">
        <f t="shared" si="411"/>
        <v>589549952.64770114</v>
      </c>
      <c r="Q174" s="483">
        <f t="shared" si="411"/>
        <v>604349626.81408703</v>
      </c>
      <c r="R174" s="483">
        <f t="shared" si="411"/>
        <v>619972128.3757391</v>
      </c>
      <c r="S174" s="483">
        <f t="shared" ref="S174:AT174" si="412">S170-S173+S184</f>
        <v>634503915.41997433</v>
      </c>
      <c r="T174" s="483">
        <f t="shared" si="412"/>
        <v>651635858.55152297</v>
      </c>
      <c r="U174" s="483">
        <f t="shared" si="412"/>
        <v>668855674.3027941</v>
      </c>
      <c r="V174" s="483">
        <f t="shared" si="412"/>
        <v>686111537.4334296</v>
      </c>
      <c r="W174" s="483">
        <f t="shared" si="412"/>
        <v>702022814.94872749</v>
      </c>
      <c r="X174" s="483">
        <f t="shared" si="412"/>
        <v>721024346.72591984</v>
      </c>
      <c r="Y174" s="483">
        <f t="shared" si="412"/>
        <v>739914724.84772682</v>
      </c>
      <c r="Z174" s="483">
        <f t="shared" si="412"/>
        <v>759074910.79363525</v>
      </c>
      <c r="AA174" s="483">
        <f t="shared" si="412"/>
        <v>776611137.53418434</v>
      </c>
      <c r="AB174" s="483">
        <f t="shared" si="412"/>
        <v>797527425.77654684</v>
      </c>
      <c r="AC174" s="483">
        <f t="shared" si="412"/>
        <v>818276970.4560684</v>
      </c>
      <c r="AD174" s="483">
        <f t="shared" si="412"/>
        <v>839494500.36863101</v>
      </c>
      <c r="AE174" s="483">
        <f t="shared" si="412"/>
        <v>858821428.47044814</v>
      </c>
      <c r="AF174" s="483">
        <f t="shared" si="412"/>
        <v>881744115.12729168</v>
      </c>
      <c r="AG174" s="483">
        <f t="shared" si="412"/>
        <v>904792966.33115959</v>
      </c>
      <c r="AH174" s="483">
        <f t="shared" si="412"/>
        <v>983902599.39603508</v>
      </c>
      <c r="AI174" s="483">
        <f t="shared" si="412"/>
        <v>1056965281.3321357</v>
      </c>
      <c r="AJ174" s="483">
        <f t="shared" si="412"/>
        <v>1142801482.6018298</v>
      </c>
      <c r="AK174" s="483">
        <f t="shared" si="412"/>
        <v>1228859620.1206386</v>
      </c>
      <c r="AL174" s="483">
        <f t="shared" si="412"/>
        <v>1260124855.2172418</v>
      </c>
      <c r="AM174" s="483">
        <f t="shared" si="412"/>
        <v>1288864765.3906786</v>
      </c>
      <c r="AN174" s="483">
        <f t="shared" si="412"/>
        <v>1322804589.428329</v>
      </c>
      <c r="AO174" s="483">
        <f t="shared" si="412"/>
        <v>1356906176.0641644</v>
      </c>
      <c r="AP174" s="483">
        <f t="shared" si="412"/>
        <v>1391278652.6429536</v>
      </c>
      <c r="AQ174" s="483">
        <f t="shared" si="412"/>
        <v>1423074307.3437419</v>
      </c>
      <c r="AR174" s="483">
        <f t="shared" si="412"/>
        <v>1460556200.3273048</v>
      </c>
      <c r="AS174" s="483">
        <f t="shared" si="412"/>
        <v>1498006578.6549757</v>
      </c>
      <c r="AT174" s="483">
        <f t="shared" si="412"/>
        <v>1535987080.7002962</v>
      </c>
      <c r="AU174" s="483">
        <f>AU170-AU173+AU184</f>
        <v>1570886155.9941714</v>
      </c>
      <c r="AV174" s="483">
        <f t="shared" ref="AV174:BB174" si="413">AV170-AV173+AV184</f>
        <v>1612251050.6828458</v>
      </c>
      <c r="AW174" s="483">
        <f t="shared" si="413"/>
        <v>1653595864.8604476</v>
      </c>
      <c r="AX174" s="483">
        <f t="shared" si="413"/>
        <v>1695328477.546885</v>
      </c>
      <c r="AY174" s="483">
        <f t="shared" si="413"/>
        <v>1738087902.885958</v>
      </c>
      <c r="AZ174" s="483">
        <f t="shared" si="413"/>
        <v>1782043031.9838958</v>
      </c>
      <c r="BA174" s="483">
        <f t="shared" si="413"/>
        <v>1827177458.1457138</v>
      </c>
      <c r="BB174" s="483">
        <f t="shared" si="413"/>
        <v>1872366665.450793</v>
      </c>
      <c r="BD174" s="516" t="s">
        <v>38</v>
      </c>
      <c r="BE174" s="507">
        <f>_xlfn.MAXIFS($I174:$AW174,$I$2:$AW$2,BE$2)</f>
        <v>545722676.05230689</v>
      </c>
      <c r="BF174" s="507">
        <f t="shared" si="410"/>
        <v>604349626.81408703</v>
      </c>
      <c r="BG174" s="507">
        <f t="shared" si="410"/>
        <v>668855674.3027941</v>
      </c>
      <c r="BH174" s="507">
        <f t="shared" si="410"/>
        <v>739914724.84772682</v>
      </c>
      <c r="BI174" s="507">
        <f t="shared" si="410"/>
        <v>818276970.4560684</v>
      </c>
      <c r="BJ174" s="507">
        <f t="shared" si="410"/>
        <v>904792966.33115959</v>
      </c>
      <c r="BK174" s="507">
        <f t="shared" si="410"/>
        <v>1228859620.1206386</v>
      </c>
      <c r="BL174" s="507">
        <f t="shared" si="410"/>
        <v>1356906176.0641644</v>
      </c>
      <c r="BM174" s="507">
        <f t="shared" si="410"/>
        <v>1498006578.6549757</v>
      </c>
      <c r="BN174" s="507">
        <f t="shared" si="410"/>
        <v>1653595864.8604476</v>
      </c>
    </row>
    <row r="175" spans="1:74" s="93" customFormat="1" ht="15.6">
      <c r="B175" s="93" t="s">
        <v>87</v>
      </c>
      <c r="E175" s="161"/>
      <c r="F175" s="180">
        <f>$C$59</f>
        <v>20000</v>
      </c>
      <c r="G175" s="180">
        <f>C61</f>
        <v>22000</v>
      </c>
      <c r="H175" s="483">
        <f>C62</f>
        <v>23000</v>
      </c>
      <c r="I175" s="483">
        <f>I174/$C$69</f>
        <v>23561.086363485454</v>
      </c>
      <c r="J175" s="483">
        <f t="shared" ref="J175:AT175" si="414">J174/$C$69</f>
        <v>24176.613366734695</v>
      </c>
      <c r="K175" s="483">
        <f>K174/$C$69</f>
        <v>24692.035273523124</v>
      </c>
      <c r="L175" s="483">
        <f t="shared" si="414"/>
        <v>26116.947412493599</v>
      </c>
      <c r="M175" s="483">
        <f t="shared" si="414"/>
        <v>26808.934763819361</v>
      </c>
      <c r="N175" s="483">
        <f t="shared" si="414"/>
        <v>27520.117388221897</v>
      </c>
      <c r="O175" s="483">
        <f t="shared" si="414"/>
        <v>28119.050921038721</v>
      </c>
      <c r="P175" s="483">
        <f t="shared" si="414"/>
        <v>28961.974486524912</v>
      </c>
      <c r="Q175" s="483">
        <f t="shared" si="414"/>
        <v>29689.016840935696</v>
      </c>
      <c r="R175" s="483">
        <f t="shared" si="414"/>
        <v>30456.481055990327</v>
      </c>
      <c r="S175" s="483">
        <f t="shared" si="414"/>
        <v>31170.363304184237</v>
      </c>
      <c r="T175" s="483">
        <f t="shared" si="414"/>
        <v>32011.97968910999</v>
      </c>
      <c r="U175" s="483">
        <f t="shared" si="414"/>
        <v>32857.912866122722</v>
      </c>
      <c r="V175" s="483">
        <f t="shared" si="414"/>
        <v>33705.616891011479</v>
      </c>
      <c r="W175" s="483">
        <f t="shared" si="414"/>
        <v>34487.267387931199</v>
      </c>
      <c r="X175" s="483">
        <f t="shared" si="414"/>
        <v>35420.728371287085</v>
      </c>
      <c r="Y175" s="483">
        <f t="shared" si="414"/>
        <v>36348.728868526567</v>
      </c>
      <c r="Z175" s="483">
        <f t="shared" si="414"/>
        <v>37289.983827551347</v>
      </c>
      <c r="AA175" s="483">
        <f t="shared" si="414"/>
        <v>38151.460873166849</v>
      </c>
      <c r="AB175" s="483">
        <f t="shared" si="414"/>
        <v>39178.985349604387</v>
      </c>
      <c r="AC175" s="483">
        <f t="shared" si="414"/>
        <v>40198.318454316584</v>
      </c>
      <c r="AD175" s="483">
        <f t="shared" si="414"/>
        <v>41240.641597987378</v>
      </c>
      <c r="AE175" s="483">
        <f t="shared" si="414"/>
        <v>42190.087859621148</v>
      </c>
      <c r="AF175" s="483">
        <f t="shared" si="414"/>
        <v>43316.17779167281</v>
      </c>
      <c r="AG175" s="483">
        <f t="shared" si="414"/>
        <v>44448.465628372942</v>
      </c>
      <c r="AH175" s="483">
        <f t="shared" si="414"/>
        <v>48334.771045197245</v>
      </c>
      <c r="AI175" s="483">
        <f t="shared" si="414"/>
        <v>51924.016571631742</v>
      </c>
      <c r="AJ175" s="483">
        <f t="shared" si="414"/>
        <v>56140.768451652082</v>
      </c>
      <c r="AK175" s="483">
        <f t="shared" si="414"/>
        <v>60368.423075291736</v>
      </c>
      <c r="AL175" s="483">
        <f t="shared" si="414"/>
        <v>61904.345412519244</v>
      </c>
      <c r="AM175" s="483">
        <f t="shared" si="414"/>
        <v>63316.209736229051</v>
      </c>
      <c r="AN175" s="483">
        <f t="shared" si="414"/>
        <v>64983.522766178474</v>
      </c>
      <c r="AO175" s="483">
        <f t="shared" si="414"/>
        <v>66658.78247515054</v>
      </c>
      <c r="AP175" s="483">
        <f t="shared" si="414"/>
        <v>68347.349805607868</v>
      </c>
      <c r="AQ175" s="483">
        <f t="shared" si="414"/>
        <v>69909.329305548337</v>
      </c>
      <c r="AR175" s="483">
        <f t="shared" si="414"/>
        <v>71750.64847353629</v>
      </c>
      <c r="AS175" s="483">
        <f t="shared" si="414"/>
        <v>73590.419466249543</v>
      </c>
      <c r="AT175" s="483">
        <f t="shared" si="414"/>
        <v>75456.233086082546</v>
      </c>
      <c r="AU175" s="483">
        <f>AU174/$C$69</f>
        <v>77170.669875917243</v>
      </c>
      <c r="AV175" s="483">
        <f t="shared" ref="AV175:BB175" si="415">AV174/$C$69</f>
        <v>79202.743696347316</v>
      </c>
      <c r="AW175" s="483">
        <f t="shared" si="415"/>
        <v>81233.831050326567</v>
      </c>
      <c r="AX175" s="483">
        <f t="shared" si="415"/>
        <v>83283.969225136811</v>
      </c>
      <c r="AY175" s="483">
        <f t="shared" si="415"/>
        <v>85384.550151599426</v>
      </c>
      <c r="AZ175" s="483">
        <f t="shared" si="415"/>
        <v>87543.870700721935</v>
      </c>
      <c r="BA175" s="483">
        <f t="shared" si="415"/>
        <v>89761.124884344361</v>
      </c>
      <c r="BB175" s="483">
        <f t="shared" si="415"/>
        <v>91981.070222577764</v>
      </c>
      <c r="BD175" s="516" t="s">
        <v>87</v>
      </c>
      <c r="BE175" s="507">
        <f>_xlfn.MAXIFS($I175:$AW175,$I$2:$AW$2,BE$2)</f>
        <v>26808.934763819361</v>
      </c>
      <c r="BF175" s="507">
        <f t="shared" si="410"/>
        <v>29689.016840935696</v>
      </c>
      <c r="BG175" s="507">
        <f t="shared" si="410"/>
        <v>32857.912866122722</v>
      </c>
      <c r="BH175" s="507">
        <f t="shared" si="410"/>
        <v>36348.728868526567</v>
      </c>
      <c r="BI175" s="507">
        <f t="shared" si="410"/>
        <v>40198.318454316584</v>
      </c>
      <c r="BJ175" s="507">
        <f t="shared" si="410"/>
        <v>44448.465628372942</v>
      </c>
      <c r="BK175" s="507">
        <f t="shared" si="410"/>
        <v>60368.423075291736</v>
      </c>
      <c r="BL175" s="507">
        <f t="shared" si="410"/>
        <v>66658.78247515054</v>
      </c>
      <c r="BM175" s="507">
        <f t="shared" si="410"/>
        <v>73590.419466249543</v>
      </c>
      <c r="BN175" s="507">
        <f t="shared" si="410"/>
        <v>81233.831050326567</v>
      </c>
    </row>
    <row r="176" spans="1:74" s="119" customFormat="1" ht="15.6">
      <c r="A176" s="118"/>
      <c r="B176" s="112" t="s">
        <v>40</v>
      </c>
      <c r="D176" s="76"/>
      <c r="E176" s="162"/>
      <c r="F176" s="181"/>
      <c r="G176" s="181">
        <f>G175/F175-1</f>
        <v>0.10000000000000009</v>
      </c>
      <c r="H176" s="484">
        <f>H175/G175-1</f>
        <v>4.5454545454545414E-2</v>
      </c>
      <c r="I176" s="484">
        <f>I175/H175-1</f>
        <v>2.4395059281976161E-2</v>
      </c>
      <c r="J176" s="484">
        <f t="shared" ref="J176:AD176" si="416">J175/I175-1</f>
        <v>2.6124729299544347E-2</v>
      </c>
      <c r="K176" s="484">
        <f>K175/J175-1</f>
        <v>2.1319028392025041E-2</v>
      </c>
      <c r="L176" s="484">
        <f t="shared" si="416"/>
        <v>5.7707358797530306E-2</v>
      </c>
      <c r="M176" s="484">
        <f t="shared" si="416"/>
        <v>2.6495720973682246E-2</v>
      </c>
      <c r="N176" s="484">
        <f t="shared" si="416"/>
        <v>2.6527821066666624E-2</v>
      </c>
      <c r="O176" s="484">
        <f t="shared" si="416"/>
        <v>2.1763480306706606E-2</v>
      </c>
      <c r="P176" s="484">
        <f t="shared" si="416"/>
        <v>2.9976956471724714E-2</v>
      </c>
      <c r="Q176" s="484">
        <f t="shared" si="416"/>
        <v>2.5103342133978135E-2</v>
      </c>
      <c r="R176" s="484">
        <f t="shared" si="416"/>
        <v>2.5850105416641567E-2</v>
      </c>
      <c r="S176" s="484">
        <f t="shared" si="416"/>
        <v>2.3439419901515546E-2</v>
      </c>
      <c r="T176" s="484">
        <f t="shared" si="416"/>
        <v>2.7000531777978232E-2</v>
      </c>
      <c r="U176" s="484">
        <f t="shared" si="416"/>
        <v>2.6425518984710239E-2</v>
      </c>
      <c r="V176" s="484">
        <f t="shared" si="416"/>
        <v>2.5799083111050614E-2</v>
      </c>
      <c r="W176" s="484">
        <f t="shared" si="416"/>
        <v>2.3190511523560664E-2</v>
      </c>
      <c r="X176" s="484">
        <f t="shared" si="416"/>
        <v>2.7066829414340576E-2</v>
      </c>
      <c r="Y176" s="484">
        <f t="shared" si="416"/>
        <v>2.6199362348283683E-2</v>
      </c>
      <c r="Z176" s="484">
        <f t="shared" si="416"/>
        <v>2.5895127238955151E-2</v>
      </c>
      <c r="AA176" s="484">
        <f t="shared" si="416"/>
        <v>2.3102102956102932E-2</v>
      </c>
      <c r="AB176" s="484">
        <f t="shared" si="416"/>
        <v>2.6932768835602472E-2</v>
      </c>
      <c r="AC176" s="484">
        <f t="shared" si="416"/>
        <v>2.6017343114336011E-2</v>
      </c>
      <c r="AD176" s="484">
        <f t="shared" si="416"/>
        <v>2.5929521028481339E-2</v>
      </c>
      <c r="AE176" s="484">
        <f t="shared" ref="AE176" si="417">AE175/AD175-1</f>
        <v>2.3022102102313147E-2</v>
      </c>
      <c r="AF176" s="484">
        <f t="shared" ref="AF176" si="418">AF175/AE175-1</f>
        <v>2.6690864825844818E-2</v>
      </c>
      <c r="AG176" s="484">
        <f t="shared" ref="AG176" si="419">AG175/AF175-1</f>
        <v>2.6140068086011992E-2</v>
      </c>
      <c r="AH176" s="484">
        <f t="shared" ref="AH176" si="420">AH175/AG175-1</f>
        <v>8.7433961147660888E-2</v>
      </c>
      <c r="AI176" s="484">
        <f t="shared" ref="AI176" si="421">AI175/AH175-1</f>
        <v>7.4258043408920615E-2</v>
      </c>
      <c r="AJ176" s="484">
        <f t="shared" ref="AJ176" si="422">AJ175/AI175-1</f>
        <v>8.1210048036309379E-2</v>
      </c>
      <c r="AK176" s="484">
        <f t="shared" ref="AK176" si="423">AK175/AJ175-1</f>
        <v>7.5304537865036103E-2</v>
      </c>
      <c r="AL176" s="484">
        <f t="shared" ref="AL176" si="424">AL175/AK175-1</f>
        <v>2.5442479014432751E-2</v>
      </c>
      <c r="AM176" s="484">
        <f t="shared" ref="AM176" si="425">AM175/AL175-1</f>
        <v>2.2807192521000053E-2</v>
      </c>
      <c r="AN176" s="484">
        <f t="shared" ref="AN176" si="426">AN175/AM175-1</f>
        <v>2.6333114962113768E-2</v>
      </c>
      <c r="AO176" s="484">
        <f t="shared" ref="AO176" si="427">AO175/AN175-1</f>
        <v>2.577976135581217E-2</v>
      </c>
      <c r="AP176" s="484">
        <f t="shared" ref="AP176" si="428">AP175/AO175-1</f>
        <v>2.5331505733498849E-2</v>
      </c>
      <c r="AQ176" s="484">
        <f t="shared" ref="AQ176" si="429">AQ175/AP175-1</f>
        <v>2.2853548884967934E-2</v>
      </c>
      <c r="AR176" s="484">
        <f t="shared" ref="AR176" si="430">AR175/AQ175-1</f>
        <v>2.6338675914629572E-2</v>
      </c>
      <c r="AS176" s="484">
        <f t="shared" ref="AS176" si="431">AS175/AR175-1</f>
        <v>2.5641175820059869E-2</v>
      </c>
      <c r="AT176" s="484">
        <f t="shared" ref="AT176" si="432">AT175/AS175-1</f>
        <v>2.5354028871770629E-2</v>
      </c>
      <c r="AU176" s="484">
        <f>AU175/AT175-1</f>
        <v>2.2720943250358339E-2</v>
      </c>
      <c r="AV176" s="484">
        <f t="shared" ref="AV176:BB176" si="433">AV175/AU175-1</f>
        <v>2.6332203979795077E-2</v>
      </c>
      <c r="AW176" s="484">
        <f t="shared" si="433"/>
        <v>2.5644153967268712E-2</v>
      </c>
      <c r="AX176" s="484">
        <f t="shared" si="433"/>
        <v>2.5237492166781283E-2</v>
      </c>
      <c r="AY176" s="484">
        <f t="shared" si="433"/>
        <v>2.5221911803749775E-2</v>
      </c>
      <c r="AZ176" s="484">
        <f t="shared" si="433"/>
        <v>2.5289359085322261E-2</v>
      </c>
      <c r="BA176" s="484">
        <f t="shared" si="433"/>
        <v>2.5327349200749305E-2</v>
      </c>
      <c r="BB176" s="484">
        <f t="shared" si="433"/>
        <v>2.4731701402959994E-2</v>
      </c>
      <c r="BD176" s="500" t="s">
        <v>380</v>
      </c>
      <c r="BE176" s="501">
        <f>M174/I174-1</f>
        <v>0.13784799012355231</v>
      </c>
      <c r="BF176" s="501">
        <f>BF175/BE175-1</f>
        <v>0.10742993343410334</v>
      </c>
      <c r="BG176" s="501">
        <f t="shared" ref="BG176" si="434">BG175/BF175-1</f>
        <v>0.10673630730734418</v>
      </c>
      <c r="BH176" s="501">
        <f t="shared" ref="BH176" si="435">BH175/BG175-1</f>
        <v>0.10623973642595419</v>
      </c>
      <c r="BI176" s="501">
        <f t="shared" ref="BI176" si="436">BI175/BH175-1</f>
        <v>0.10590713088520909</v>
      </c>
      <c r="BJ176" s="501">
        <f t="shared" ref="BJ176" si="437">BJ175/BI175-1</f>
        <v>0.1057294766915795</v>
      </c>
      <c r="BK176" s="501">
        <f t="shared" ref="BK176" si="438">BK175/BJ175-1</f>
        <v>0.35816663684238748</v>
      </c>
      <c r="BL176" s="501">
        <f t="shared" ref="BL176" si="439">BL175/BK175-1</f>
        <v>0.10419949833729203</v>
      </c>
      <c r="BM176" s="501">
        <f t="shared" ref="BM176" si="440">BM175/BL175-1</f>
        <v>0.10398685265040686</v>
      </c>
      <c r="BN176" s="501">
        <f t="shared" ref="BN176" si="441">BN175/BM175-1</f>
        <v>0.10386422090694136</v>
      </c>
    </row>
    <row r="177" spans="1:67" s="83" customFormat="1" ht="15.6">
      <c r="A177" s="5"/>
      <c r="B177" s="68" t="s">
        <v>29</v>
      </c>
      <c r="C177" s="68"/>
      <c r="D177" s="68"/>
      <c r="E177" s="163"/>
      <c r="F177" s="166">
        <v>0</v>
      </c>
      <c r="G177" s="166">
        <f>G178*(C65+C66)</f>
        <v>4142400</v>
      </c>
      <c r="H177" s="69">
        <f>H178*SUM(C65:C67)</f>
        <v>6142400</v>
      </c>
      <c r="I177" s="69">
        <f>I178*$C$69</f>
        <v>8142400</v>
      </c>
      <c r="J177" s="69">
        <f>J178*$C$69</f>
        <v>8142400</v>
      </c>
      <c r="K177" s="69">
        <f>K178*$C$69</f>
        <v>8142400</v>
      </c>
      <c r="L177" s="69">
        <f t="shared" ref="L177:BB177" si="442">L178*$C$69</f>
        <v>8142400</v>
      </c>
      <c r="M177" s="69">
        <f>M178*$C$69</f>
        <v>8142400</v>
      </c>
      <c r="N177" s="69">
        <f t="shared" si="442"/>
        <v>8142400</v>
      </c>
      <c r="O177" s="69">
        <f t="shared" si="442"/>
        <v>8142400</v>
      </c>
      <c r="P177" s="69">
        <f t="shared" si="442"/>
        <v>8142400</v>
      </c>
      <c r="Q177" s="69">
        <f t="shared" si="442"/>
        <v>10381560</v>
      </c>
      <c r="R177" s="69">
        <f t="shared" si="442"/>
        <v>9974440</v>
      </c>
      <c r="S177" s="69">
        <f>S178*$C$69</f>
        <v>8549520</v>
      </c>
      <c r="T177" s="69">
        <f t="shared" si="442"/>
        <v>10788680</v>
      </c>
      <c r="U177" s="69">
        <f t="shared" si="442"/>
        <v>10585120</v>
      </c>
      <c r="V177" s="69">
        <f t="shared" si="442"/>
        <v>10992240</v>
      </c>
      <c r="W177" s="69">
        <f t="shared" si="442"/>
        <v>9567320</v>
      </c>
      <c r="X177" s="69">
        <f t="shared" si="442"/>
        <v>11806480</v>
      </c>
      <c r="Y177" s="69">
        <f t="shared" si="442"/>
        <v>11806480</v>
      </c>
      <c r="Z177" s="69">
        <f t="shared" si="442"/>
        <v>12010040</v>
      </c>
      <c r="AA177" s="69">
        <f t="shared" si="442"/>
        <v>10585120</v>
      </c>
      <c r="AB177" s="69">
        <f t="shared" si="442"/>
        <v>12213600</v>
      </c>
      <c r="AC177" s="69">
        <f t="shared" si="442"/>
        <v>11602920</v>
      </c>
      <c r="AD177" s="69">
        <f t="shared" si="442"/>
        <v>11602920</v>
      </c>
      <c r="AE177" s="69">
        <f t="shared" si="442"/>
        <v>10381560</v>
      </c>
      <c r="AF177" s="69">
        <f t="shared" si="442"/>
        <v>12824280</v>
      </c>
      <c r="AG177" s="69">
        <f t="shared" si="442"/>
        <v>12620720</v>
      </c>
      <c r="AH177" s="69">
        <f t="shared" si="442"/>
        <v>12824280</v>
      </c>
      <c r="AI177" s="69">
        <f t="shared" si="442"/>
        <v>11195800</v>
      </c>
      <c r="AJ177" s="69">
        <f t="shared" si="442"/>
        <v>13842080</v>
      </c>
      <c r="AK177" s="69">
        <f t="shared" si="442"/>
        <v>13638520</v>
      </c>
      <c r="AL177" s="69">
        <f t="shared" si="442"/>
        <v>17302600</v>
      </c>
      <c r="AM177" s="69">
        <f t="shared" si="442"/>
        <v>15267000</v>
      </c>
      <c r="AN177" s="69">
        <f t="shared" si="442"/>
        <v>18931080</v>
      </c>
      <c r="AO177" s="69">
        <f t="shared" si="442"/>
        <v>18727520</v>
      </c>
      <c r="AP177" s="69">
        <f t="shared" si="442"/>
        <v>19134640</v>
      </c>
      <c r="AQ177" s="69">
        <f t="shared" si="442"/>
        <v>16691920</v>
      </c>
      <c r="AR177" s="69">
        <f t="shared" si="442"/>
        <v>20763120</v>
      </c>
      <c r="AS177" s="69">
        <f t="shared" si="442"/>
        <v>20763120</v>
      </c>
      <c r="AT177" s="69">
        <f t="shared" si="442"/>
        <v>20966680</v>
      </c>
      <c r="AU177" s="69">
        <f t="shared" si="442"/>
        <v>18523960</v>
      </c>
      <c r="AV177" s="69">
        <f t="shared" si="442"/>
        <v>22798720</v>
      </c>
      <c r="AW177" s="69">
        <f t="shared" si="442"/>
        <v>22798720</v>
      </c>
      <c r="AX177" s="69">
        <f t="shared" si="442"/>
        <v>23205840</v>
      </c>
      <c r="AY177" s="69">
        <f t="shared" si="442"/>
        <v>20356000</v>
      </c>
      <c r="AZ177" s="69">
        <f t="shared" si="442"/>
        <v>25241440</v>
      </c>
      <c r="BA177" s="69">
        <f t="shared" si="442"/>
        <v>25037880</v>
      </c>
      <c r="BB177" s="69">
        <f t="shared" si="442"/>
        <v>26480338.711875554</v>
      </c>
      <c r="BD177" s="517" t="s">
        <v>29</v>
      </c>
      <c r="BE177" s="518">
        <f>SUMIF($H$2:$BB$2,BE$2,$H177:$BB177)</f>
        <v>32569600</v>
      </c>
      <c r="BF177" s="518">
        <f t="shared" ref="BF177:BN177" si="443">SUMIF($H$2:$BB$2,BF$2,$H177:$BB177)</f>
        <v>34808760</v>
      </c>
      <c r="BG177" s="518">
        <f t="shared" si="443"/>
        <v>39897760</v>
      </c>
      <c r="BH177" s="518">
        <f t="shared" si="443"/>
        <v>44172520</v>
      </c>
      <c r="BI177" s="518">
        <f t="shared" si="443"/>
        <v>46411680</v>
      </c>
      <c r="BJ177" s="518">
        <f t="shared" si="443"/>
        <v>47429480</v>
      </c>
      <c r="BK177" s="518">
        <f t="shared" si="443"/>
        <v>51500680</v>
      </c>
      <c r="BL177" s="518">
        <f t="shared" si="443"/>
        <v>70228200</v>
      </c>
      <c r="BM177" s="518">
        <f t="shared" si="443"/>
        <v>77352800</v>
      </c>
      <c r="BN177" s="518">
        <f t="shared" si="443"/>
        <v>85088080</v>
      </c>
    </row>
    <row r="178" spans="1:67" s="88" customFormat="1" ht="15.6">
      <c r="A178" s="5"/>
      <c r="B178" s="94" t="s">
        <v>84</v>
      </c>
      <c r="C178" s="95"/>
      <c r="D178" s="93"/>
      <c r="E178" s="164"/>
      <c r="F178" s="179">
        <v>0</v>
      </c>
      <c r="G178" s="179">
        <v>400</v>
      </c>
      <c r="H178" s="480">
        <v>400</v>
      </c>
      <c r="I178" s="480">
        <v>400</v>
      </c>
      <c r="J178" s="480">
        <v>400</v>
      </c>
      <c r="K178" s="480">
        <v>400</v>
      </c>
      <c r="L178" s="480">
        <v>400</v>
      </c>
      <c r="M178" s="480">
        <v>400</v>
      </c>
      <c r="N178" s="480">
        <v>400</v>
      </c>
      <c r="O178" s="480">
        <v>400</v>
      </c>
      <c r="P178" s="480">
        <v>400</v>
      </c>
      <c r="Q178" s="480">
        <f t="shared" ref="Q178:AT178" si="444">IF((P184+Q167)&gt;$E$181,ROUND((P184+Q167-$E$181)/$C$69,-1),0)</f>
        <v>510</v>
      </c>
      <c r="R178" s="480">
        <f t="shared" si="444"/>
        <v>490</v>
      </c>
      <c r="S178" s="480">
        <f t="shared" si="444"/>
        <v>420</v>
      </c>
      <c r="T178" s="480">
        <f t="shared" si="444"/>
        <v>530</v>
      </c>
      <c r="U178" s="480">
        <f t="shared" si="444"/>
        <v>520</v>
      </c>
      <c r="V178" s="480">
        <f t="shared" si="444"/>
        <v>540</v>
      </c>
      <c r="W178" s="480">
        <f t="shared" si="444"/>
        <v>470</v>
      </c>
      <c r="X178" s="480">
        <f t="shared" si="444"/>
        <v>580</v>
      </c>
      <c r="Y178" s="480">
        <f t="shared" si="444"/>
        <v>580</v>
      </c>
      <c r="Z178" s="480">
        <f t="shared" si="444"/>
        <v>590</v>
      </c>
      <c r="AA178" s="480">
        <f t="shared" si="444"/>
        <v>520</v>
      </c>
      <c r="AB178" s="480">
        <f t="shared" si="444"/>
        <v>600</v>
      </c>
      <c r="AC178" s="480">
        <f t="shared" si="444"/>
        <v>570</v>
      </c>
      <c r="AD178" s="480">
        <f t="shared" si="444"/>
        <v>570</v>
      </c>
      <c r="AE178" s="480">
        <f t="shared" si="444"/>
        <v>510</v>
      </c>
      <c r="AF178" s="480">
        <f t="shared" si="444"/>
        <v>630</v>
      </c>
      <c r="AG178" s="480">
        <f t="shared" si="444"/>
        <v>620</v>
      </c>
      <c r="AH178" s="480">
        <f t="shared" si="444"/>
        <v>630</v>
      </c>
      <c r="AI178" s="480">
        <f t="shared" si="444"/>
        <v>550</v>
      </c>
      <c r="AJ178" s="480">
        <f t="shared" si="444"/>
        <v>680</v>
      </c>
      <c r="AK178" s="480">
        <f t="shared" si="444"/>
        <v>670</v>
      </c>
      <c r="AL178" s="480">
        <f t="shared" si="444"/>
        <v>850</v>
      </c>
      <c r="AM178" s="480">
        <f t="shared" si="444"/>
        <v>750</v>
      </c>
      <c r="AN178" s="480">
        <f t="shared" si="444"/>
        <v>930</v>
      </c>
      <c r="AO178" s="480">
        <f t="shared" si="444"/>
        <v>920</v>
      </c>
      <c r="AP178" s="480">
        <f t="shared" si="444"/>
        <v>940</v>
      </c>
      <c r="AQ178" s="480">
        <f t="shared" si="444"/>
        <v>820</v>
      </c>
      <c r="AR178" s="480">
        <f t="shared" si="444"/>
        <v>1020</v>
      </c>
      <c r="AS178" s="480">
        <f t="shared" si="444"/>
        <v>1020</v>
      </c>
      <c r="AT178" s="480">
        <f t="shared" si="444"/>
        <v>1030</v>
      </c>
      <c r="AU178" s="480">
        <f t="shared" ref="AU178:BA178" si="445">IF((AT184+AU167)&gt;$E$181,ROUND((AT184+AU167-$E$181)/$C$69,-1),0)</f>
        <v>910</v>
      </c>
      <c r="AV178" s="480">
        <f t="shared" si="445"/>
        <v>1120</v>
      </c>
      <c r="AW178" s="480">
        <f t="shared" si="445"/>
        <v>1120</v>
      </c>
      <c r="AX178" s="480">
        <f t="shared" si="445"/>
        <v>1140</v>
      </c>
      <c r="AY178" s="480">
        <f t="shared" si="445"/>
        <v>1000</v>
      </c>
      <c r="AZ178" s="480">
        <f t="shared" si="445"/>
        <v>1240</v>
      </c>
      <c r="BA178" s="480">
        <f t="shared" si="445"/>
        <v>1230</v>
      </c>
      <c r="BB178" s="480">
        <f t="shared" ref="BB178" si="446">(BA184+BB167)/$C$69</f>
        <v>1300.8615991292766</v>
      </c>
      <c r="BD178" s="519" t="s">
        <v>84</v>
      </c>
      <c r="BE178" s="520">
        <f>BE177/4/$C$69</f>
        <v>400</v>
      </c>
      <c r="BF178" s="520">
        <f t="shared" ref="BF178:BN178" si="447">BF177/4/$C$69</f>
        <v>427.5</v>
      </c>
      <c r="BG178" s="520">
        <f t="shared" si="447"/>
        <v>490</v>
      </c>
      <c r="BH178" s="520">
        <f t="shared" si="447"/>
        <v>542.5</v>
      </c>
      <c r="BI178" s="520">
        <f t="shared" si="447"/>
        <v>570</v>
      </c>
      <c r="BJ178" s="520">
        <f t="shared" si="447"/>
        <v>582.5</v>
      </c>
      <c r="BK178" s="520">
        <f t="shared" si="447"/>
        <v>632.5</v>
      </c>
      <c r="BL178" s="520">
        <f t="shared" si="447"/>
        <v>862.5</v>
      </c>
      <c r="BM178" s="520">
        <f t="shared" si="447"/>
        <v>950</v>
      </c>
      <c r="BN178" s="520">
        <f t="shared" si="447"/>
        <v>1045</v>
      </c>
      <c r="BO178" s="480"/>
    </row>
    <row r="179" spans="1:67" s="119" customFormat="1" ht="15.6">
      <c r="A179" s="118"/>
      <c r="B179" s="120" t="s">
        <v>41</v>
      </c>
      <c r="D179" s="76"/>
      <c r="E179" s="162"/>
      <c r="F179" s="181"/>
      <c r="G179" s="175">
        <f>G178/$C$59*4</f>
        <v>0.08</v>
      </c>
      <c r="H179" s="484">
        <f>H178/$C$59*4</f>
        <v>0.08</v>
      </c>
      <c r="I179" s="484">
        <f>I178/$C$59*4</f>
        <v>0.08</v>
      </c>
      <c r="J179" s="484">
        <f>J178/$C$59*4</f>
        <v>0.08</v>
      </c>
      <c r="K179" s="484">
        <f>K178/$C$59*4</f>
        <v>0.08</v>
      </c>
      <c r="L179" s="484">
        <f t="shared" ref="L179:AT179" si="448">L178/$C$59*4</f>
        <v>0.08</v>
      </c>
      <c r="M179" s="484">
        <f>M178/$C$59*4</f>
        <v>0.08</v>
      </c>
      <c r="N179" s="484">
        <f t="shared" si="448"/>
        <v>0.08</v>
      </c>
      <c r="O179" s="484">
        <f t="shared" si="448"/>
        <v>0.08</v>
      </c>
      <c r="P179" s="484">
        <f t="shared" si="448"/>
        <v>0.08</v>
      </c>
      <c r="Q179" s="484">
        <f t="shared" si="448"/>
        <v>0.10199999999999999</v>
      </c>
      <c r="R179" s="484">
        <f t="shared" si="448"/>
        <v>9.8000000000000004E-2</v>
      </c>
      <c r="S179" s="484">
        <f t="shared" si="448"/>
        <v>8.4000000000000005E-2</v>
      </c>
      <c r="T179" s="484">
        <f t="shared" si="448"/>
        <v>0.106</v>
      </c>
      <c r="U179" s="484">
        <f t="shared" si="448"/>
        <v>0.104</v>
      </c>
      <c r="V179" s="484">
        <f t="shared" si="448"/>
        <v>0.108</v>
      </c>
      <c r="W179" s="484">
        <f t="shared" si="448"/>
        <v>9.4E-2</v>
      </c>
      <c r="X179" s="484">
        <f t="shared" si="448"/>
        <v>0.11600000000000001</v>
      </c>
      <c r="Y179" s="484">
        <f t="shared" si="448"/>
        <v>0.11600000000000001</v>
      </c>
      <c r="Z179" s="484">
        <f t="shared" si="448"/>
        <v>0.11799999999999999</v>
      </c>
      <c r="AA179" s="484">
        <f t="shared" si="448"/>
        <v>0.104</v>
      </c>
      <c r="AB179" s="484">
        <f t="shared" si="448"/>
        <v>0.12</v>
      </c>
      <c r="AC179" s="484">
        <f t="shared" si="448"/>
        <v>0.114</v>
      </c>
      <c r="AD179" s="484">
        <f t="shared" si="448"/>
        <v>0.114</v>
      </c>
      <c r="AE179" s="484">
        <f t="shared" si="448"/>
        <v>0.10199999999999999</v>
      </c>
      <c r="AF179" s="484">
        <f t="shared" si="448"/>
        <v>0.126</v>
      </c>
      <c r="AG179" s="484">
        <f t="shared" si="448"/>
        <v>0.124</v>
      </c>
      <c r="AH179" s="484">
        <f t="shared" si="448"/>
        <v>0.126</v>
      </c>
      <c r="AI179" s="484">
        <f t="shared" si="448"/>
        <v>0.11</v>
      </c>
      <c r="AJ179" s="484">
        <f t="shared" si="448"/>
        <v>0.13600000000000001</v>
      </c>
      <c r="AK179" s="484">
        <f t="shared" si="448"/>
        <v>0.13400000000000001</v>
      </c>
      <c r="AL179" s="484">
        <f t="shared" si="448"/>
        <v>0.17</v>
      </c>
      <c r="AM179" s="484">
        <f t="shared" si="448"/>
        <v>0.15</v>
      </c>
      <c r="AN179" s="484">
        <f t="shared" si="448"/>
        <v>0.186</v>
      </c>
      <c r="AO179" s="484">
        <f t="shared" si="448"/>
        <v>0.184</v>
      </c>
      <c r="AP179" s="484">
        <f t="shared" si="448"/>
        <v>0.188</v>
      </c>
      <c r="AQ179" s="484">
        <f t="shared" si="448"/>
        <v>0.16400000000000001</v>
      </c>
      <c r="AR179" s="484">
        <f t="shared" si="448"/>
        <v>0.20399999999999999</v>
      </c>
      <c r="AS179" s="484">
        <f t="shared" si="448"/>
        <v>0.20399999999999999</v>
      </c>
      <c r="AT179" s="484">
        <f t="shared" si="448"/>
        <v>0.20599999999999999</v>
      </c>
      <c r="AU179" s="484">
        <f t="shared" ref="AU179:BB179" si="449">AU178/$C$59*4</f>
        <v>0.182</v>
      </c>
      <c r="AV179" s="484">
        <f t="shared" si="449"/>
        <v>0.224</v>
      </c>
      <c r="AW179" s="484">
        <f t="shared" si="449"/>
        <v>0.224</v>
      </c>
      <c r="AX179" s="484">
        <f t="shared" si="449"/>
        <v>0.22800000000000001</v>
      </c>
      <c r="AY179" s="484">
        <f t="shared" si="449"/>
        <v>0.2</v>
      </c>
      <c r="AZ179" s="484">
        <f t="shared" si="449"/>
        <v>0.248</v>
      </c>
      <c r="BA179" s="484">
        <f t="shared" si="449"/>
        <v>0.246</v>
      </c>
      <c r="BB179" s="484">
        <f t="shared" si="449"/>
        <v>0.26017231982585531</v>
      </c>
      <c r="BD179" s="500" t="s">
        <v>41</v>
      </c>
      <c r="BE179" s="515">
        <f>BE178/23000*4</f>
        <v>6.9565217391304349E-2</v>
      </c>
      <c r="BF179" s="515">
        <f t="shared" ref="BF179:BN179" si="450">BF178/23000*4</f>
        <v>7.4347826086956517E-2</v>
      </c>
      <c r="BG179" s="515">
        <f t="shared" si="450"/>
        <v>8.5217391304347828E-2</v>
      </c>
      <c r="BH179" s="515">
        <f t="shared" si="450"/>
        <v>9.4347826086956521E-2</v>
      </c>
      <c r="BI179" s="515">
        <f t="shared" si="450"/>
        <v>9.913043478260869E-2</v>
      </c>
      <c r="BJ179" s="515">
        <f t="shared" si="450"/>
        <v>0.10130434782608695</v>
      </c>
      <c r="BK179" s="515">
        <f t="shared" si="450"/>
        <v>0.11</v>
      </c>
      <c r="BL179" s="515">
        <f t="shared" si="450"/>
        <v>0.15</v>
      </c>
      <c r="BM179" s="515">
        <f t="shared" si="450"/>
        <v>0.16521739130434782</v>
      </c>
      <c r="BN179" s="515">
        <f t="shared" si="450"/>
        <v>0.1817391304347826</v>
      </c>
    </row>
    <row r="180" spans="1:67" s="88" customFormat="1" ht="5.4" customHeight="1">
      <c r="A180" s="5"/>
      <c r="B180" s="73"/>
      <c r="D180" s="74"/>
      <c r="E180" s="154"/>
      <c r="F180" s="170"/>
      <c r="G180" s="170"/>
      <c r="H180" s="484"/>
      <c r="I180" s="484"/>
      <c r="J180" s="484"/>
      <c r="K180" s="484"/>
      <c r="L180" s="484"/>
      <c r="M180" s="484"/>
      <c r="N180" s="484"/>
      <c r="O180" s="484"/>
      <c r="P180" s="484"/>
      <c r="Q180" s="484"/>
      <c r="R180" s="484"/>
      <c r="S180" s="484"/>
      <c r="T180" s="484"/>
      <c r="U180" s="484"/>
      <c r="V180" s="484"/>
      <c r="W180" s="484"/>
      <c r="X180" s="484"/>
      <c r="Y180" s="484"/>
      <c r="Z180" s="484"/>
      <c r="AA180" s="484"/>
      <c r="AB180" s="484"/>
      <c r="AC180" s="484"/>
      <c r="AD180" s="484"/>
      <c r="AE180" s="484"/>
      <c r="AF180" s="484"/>
      <c r="AG180" s="484"/>
      <c r="AH180" s="484"/>
      <c r="AI180" s="484"/>
      <c r="AJ180" s="484"/>
      <c r="AK180" s="484"/>
      <c r="AL180" s="484"/>
      <c r="AM180" s="484"/>
      <c r="AN180" s="484"/>
      <c r="AO180" s="484"/>
      <c r="AP180" s="484"/>
      <c r="AQ180" s="484"/>
      <c r="AR180" s="484"/>
      <c r="AS180" s="484"/>
      <c r="AT180" s="484"/>
      <c r="AU180" s="484"/>
      <c r="AV180" s="484"/>
      <c r="AW180" s="484"/>
      <c r="AX180" s="484"/>
      <c r="AY180" s="484"/>
      <c r="AZ180" s="484"/>
      <c r="BA180" s="484"/>
      <c r="BB180" s="484"/>
      <c r="BD180" s="465"/>
      <c r="BE180" s="484"/>
      <c r="BF180" s="484"/>
      <c r="BG180" s="484"/>
      <c r="BH180" s="484"/>
      <c r="BI180" s="484"/>
      <c r="BJ180" s="484"/>
      <c r="BK180" s="484"/>
      <c r="BL180" s="484"/>
      <c r="BM180" s="484"/>
      <c r="BN180" s="484"/>
    </row>
    <row r="181" spans="1:67" s="44" customFormat="1" ht="15.6" collapsed="1">
      <c r="A181" s="5"/>
      <c r="B181" s="62" t="s">
        <v>14</v>
      </c>
      <c r="C181" s="62"/>
      <c r="D181" s="62"/>
      <c r="E181" s="104">
        <f>$C$45</f>
        <v>1000000</v>
      </c>
      <c r="F181" s="180"/>
      <c r="G181" s="180"/>
      <c r="H181" s="489"/>
      <c r="I181" s="489"/>
      <c r="J181" s="489"/>
      <c r="K181" s="489"/>
      <c r="L181" s="489"/>
      <c r="M181" s="489"/>
      <c r="N181" s="489"/>
      <c r="O181" s="489"/>
      <c r="P181" s="489"/>
      <c r="Q181" s="489"/>
      <c r="R181" s="489"/>
      <c r="S181" s="489"/>
      <c r="T181" s="489"/>
      <c r="U181" s="489"/>
      <c r="V181" s="489"/>
      <c r="W181" s="489"/>
      <c r="X181" s="489"/>
      <c r="Y181" s="489"/>
      <c r="Z181" s="489"/>
      <c r="AA181" s="489"/>
      <c r="AB181" s="489"/>
      <c r="AC181" s="489"/>
      <c r="AD181" s="489"/>
      <c r="AE181" s="489"/>
      <c r="AF181" s="489"/>
      <c r="AG181" s="489"/>
      <c r="AH181" s="489"/>
      <c r="AI181" s="489"/>
      <c r="AJ181" s="489"/>
      <c r="AK181" s="489"/>
      <c r="AL181" s="489"/>
      <c r="AM181" s="489"/>
      <c r="AN181" s="489"/>
      <c r="AO181" s="489"/>
      <c r="AP181" s="489"/>
      <c r="AQ181" s="489"/>
      <c r="AR181" s="489"/>
      <c r="AS181" s="489"/>
      <c r="AT181" s="489"/>
      <c r="AU181" s="489"/>
      <c r="AV181" s="489"/>
      <c r="AW181" s="489"/>
      <c r="AX181" s="489"/>
      <c r="AY181" s="489"/>
      <c r="AZ181" s="489"/>
      <c r="BA181" s="489"/>
      <c r="BB181" s="489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</row>
    <row r="182" spans="1:67" s="44" customFormat="1">
      <c r="A182" s="5"/>
      <c r="B182" s="62" t="s">
        <v>30</v>
      </c>
      <c r="C182" s="62"/>
      <c r="D182" s="62"/>
      <c r="E182" s="160"/>
      <c r="F182" s="182">
        <f>E184</f>
        <v>0</v>
      </c>
      <c r="G182" s="182">
        <f>F184</f>
        <v>240652837.38</v>
      </c>
      <c r="H182" s="96">
        <f>G184</f>
        <v>27164278.90000001</v>
      </c>
      <c r="I182" s="96">
        <f>H184</f>
        <v>2741200.2806886546</v>
      </c>
      <c r="J182" s="96">
        <f t="shared" ref="J182:AD182" si="451">I184</f>
        <v>1732603.2607848234</v>
      </c>
      <c r="K182" s="96">
        <f>J184</f>
        <v>1719292.1285691103</v>
      </c>
      <c r="L182" s="96">
        <f t="shared" si="451"/>
        <v>660995.58207840845</v>
      </c>
      <c r="M182" s="96">
        <f t="shared" si="451"/>
        <v>849248.90978330933</v>
      </c>
      <c r="N182" s="96">
        <f t="shared" si="451"/>
        <v>847806.12948953081</v>
      </c>
      <c r="O182" s="96">
        <f>N184</f>
        <v>1075636.8273857115</v>
      </c>
      <c r="P182" s="96">
        <f t="shared" si="451"/>
        <v>142672.84864890296</v>
      </c>
      <c r="Q182" s="96">
        <f t="shared" si="451"/>
        <v>1795037.5230151499</v>
      </c>
      <c r="R182" s="96">
        <f t="shared" si="451"/>
        <v>1050200.6048411904</v>
      </c>
      <c r="S182" s="96">
        <f t="shared" si="451"/>
        <v>950579.03131617513</v>
      </c>
      <c r="T182" s="96">
        <f t="shared" si="451"/>
        <v>996805.55522903148</v>
      </c>
      <c r="U182" s="96">
        <f t="shared" si="451"/>
        <v>1022160.2083198195</v>
      </c>
      <c r="V182" s="96">
        <f t="shared" si="451"/>
        <v>1092382.7137694983</v>
      </c>
      <c r="W182" s="96">
        <f t="shared" si="451"/>
        <v>1003279.3429050008</v>
      </c>
      <c r="X182" s="96">
        <f t="shared" si="451"/>
        <v>929809.2330430327</v>
      </c>
      <c r="Y182" s="96">
        <f t="shared" si="451"/>
        <v>1061822.2570452066</v>
      </c>
      <c r="Z182" s="96">
        <f t="shared" si="451"/>
        <v>1034485.2030029381</v>
      </c>
      <c r="AA182" s="96">
        <f t="shared" si="451"/>
        <v>1062045.3918156615</v>
      </c>
      <c r="AB182" s="96">
        <f t="shared" si="451"/>
        <v>961887.13924307842</v>
      </c>
      <c r="AC182" s="96">
        <f t="shared" si="451"/>
        <v>1066819.7548658187</v>
      </c>
      <c r="AD182" s="96">
        <f t="shared" si="451"/>
        <v>951057.00523560401</v>
      </c>
      <c r="AE182" s="96">
        <f t="shared" ref="AE182" si="452">AD184</f>
        <v>1066877.8492749063</v>
      </c>
      <c r="AF182" s="96">
        <f t="shared" ref="AF182" si="453">AE184</f>
        <v>937961.72294021305</v>
      </c>
      <c r="AG182" s="96">
        <f t="shared" ref="AG182" si="454">AF184</f>
        <v>910527.94222794194</v>
      </c>
      <c r="AH182" s="96">
        <f t="shared" ref="AH182" si="455">AG184</f>
        <v>948929.20152481552</v>
      </c>
      <c r="AI182" s="96">
        <f t="shared" ref="AI182" si="456">AH184</f>
        <v>1026402.5167847248</v>
      </c>
      <c r="AJ182" s="96">
        <f t="shared" ref="AJ182" si="457">AI184</f>
        <v>987713.52460794989</v>
      </c>
      <c r="AK182" s="96">
        <f t="shared" ref="AK182" si="458">AJ184</f>
        <v>1034123.4823023239</v>
      </c>
      <c r="AL182" s="96">
        <f t="shared" ref="AL182" si="459">AK184</f>
        <v>1032390.103188484</v>
      </c>
      <c r="AM182" s="96">
        <f t="shared" ref="AM182" si="460">AL184</f>
        <v>1062375.115821748</v>
      </c>
      <c r="AN182" s="96">
        <f t="shared" ref="AN182" si="461">AM184</f>
        <v>970565.41183110978</v>
      </c>
      <c r="AO182" s="96">
        <f t="shared" ref="AO182" si="462">AN184</f>
        <v>962230.88034421485</v>
      </c>
      <c r="AP182" s="96">
        <f t="shared" ref="AP182" si="463">AO184</f>
        <v>1020173.6470445907</v>
      </c>
      <c r="AQ182" s="96">
        <f t="shared" ref="AQ182" si="464">AP184</f>
        <v>969255.6542815594</v>
      </c>
      <c r="AR182" s="96">
        <f t="shared" ref="AR182" si="465">AQ184</f>
        <v>985399.01071406435</v>
      </c>
      <c r="AS182" s="96">
        <f t="shared" ref="AS182" si="466">AR184</f>
        <v>1057604.5098455837</v>
      </c>
      <c r="AT182" s="96">
        <f t="shared" ref="AT182:AU182" si="467">AS184</f>
        <v>992124.12832304742</v>
      </c>
      <c r="AU182" s="96">
        <f t="shared" si="467"/>
        <v>1039041.6917911125</v>
      </c>
      <c r="AV182" s="96">
        <f t="shared" ref="AV182" si="468">AU184</f>
        <v>912804.05373018514</v>
      </c>
      <c r="AW182" s="96">
        <f t="shared" ref="AW182" si="469">AV184</f>
        <v>1056993.7982303156</v>
      </c>
      <c r="AX182" s="96">
        <f t="shared" ref="AX182" si="470">AW184</f>
        <v>1063120.4199179215</v>
      </c>
      <c r="AY182" s="96">
        <f t="shared" ref="AY182" si="471">AX184</f>
        <v>997547.2005155636</v>
      </c>
      <c r="AZ182" s="96">
        <f t="shared" ref="AZ182" si="472">AY184</f>
        <v>901568.03950503003</v>
      </c>
      <c r="BA182" s="96">
        <f t="shared" ref="BA182" si="473">AZ184</f>
        <v>917333.38124749344</v>
      </c>
      <c r="BB182" s="96">
        <f t="shared" ref="BB182" si="474">BA184</f>
        <v>1001019.5064033447</v>
      </c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</row>
    <row r="183" spans="1:67" s="44" customFormat="1">
      <c r="A183" s="5"/>
      <c r="B183" s="62" t="s">
        <v>31</v>
      </c>
      <c r="C183" s="62"/>
      <c r="D183" s="62"/>
      <c r="E183" s="160"/>
      <c r="F183" s="171">
        <f>+F167-F177</f>
        <v>241845170.71000001</v>
      </c>
      <c r="G183" s="171">
        <f>+G167-G177</f>
        <v>-214845606.38999999</v>
      </c>
      <c r="H183" s="96">
        <f>+H167-H177</f>
        <v>-24423078.619311355</v>
      </c>
      <c r="I183" s="96">
        <f>+I167-I177</f>
        <v>-1008597.0199038312</v>
      </c>
      <c r="J183" s="96">
        <f t="shared" ref="J183:L183" si="475">+J167-J177</f>
        <v>-13311.132215713151</v>
      </c>
      <c r="K183" s="96">
        <f>+K167-K177</f>
        <v>-1058296.5464907018</v>
      </c>
      <c r="L183" s="96">
        <f t="shared" si="475"/>
        <v>188253.32770490088</v>
      </c>
      <c r="M183" s="96">
        <f t="shared" ref="M183:AT183" si="476">+M167-M177</f>
        <v>-1442.7802937785164</v>
      </c>
      <c r="N183" s="96">
        <f t="shared" si="476"/>
        <v>227830.69789618067</v>
      </c>
      <c r="O183" s="96">
        <f t="shared" si="476"/>
        <v>-932963.97873680852</v>
      </c>
      <c r="P183" s="96">
        <f t="shared" si="476"/>
        <v>1652364.6743662469</v>
      </c>
      <c r="Q183" s="96">
        <f t="shared" si="476"/>
        <v>-744836.91817395948</v>
      </c>
      <c r="R183" s="96">
        <f t="shared" si="476"/>
        <v>-99621.573525015265</v>
      </c>
      <c r="S183" s="96">
        <f t="shared" si="476"/>
        <v>46226.523912856355</v>
      </c>
      <c r="T183" s="96">
        <f t="shared" si="476"/>
        <v>25354.653090788051</v>
      </c>
      <c r="U183" s="96">
        <f t="shared" si="476"/>
        <v>70222.505449678749</v>
      </c>
      <c r="V183" s="96">
        <f t="shared" si="476"/>
        <v>-89103.370864497498</v>
      </c>
      <c r="W183" s="96">
        <f t="shared" si="476"/>
        <v>-73470.109861968085</v>
      </c>
      <c r="X183" s="96">
        <f t="shared" si="476"/>
        <v>132013.02400217392</v>
      </c>
      <c r="Y183" s="96">
        <f t="shared" si="476"/>
        <v>-27337.054042268544</v>
      </c>
      <c r="Z183" s="96">
        <f t="shared" si="476"/>
        <v>27560.188812723383</v>
      </c>
      <c r="AA183" s="96">
        <f t="shared" si="476"/>
        <v>-100158.25257258303</v>
      </c>
      <c r="AB183" s="96">
        <f t="shared" si="476"/>
        <v>104932.61562274024</v>
      </c>
      <c r="AC183" s="96">
        <f t="shared" si="476"/>
        <v>-115762.74963021465</v>
      </c>
      <c r="AD183" s="96">
        <f t="shared" si="476"/>
        <v>115820.84403930232</v>
      </c>
      <c r="AE183" s="96">
        <f t="shared" si="476"/>
        <v>-128916.12633469328</v>
      </c>
      <c r="AF183" s="96">
        <f t="shared" si="476"/>
        <v>-27433.780712271109</v>
      </c>
      <c r="AG183" s="96">
        <f t="shared" si="476"/>
        <v>38401.259296873584</v>
      </c>
      <c r="AH183" s="96">
        <f t="shared" si="476"/>
        <v>77473.315259909257</v>
      </c>
      <c r="AI183" s="96">
        <f t="shared" si="476"/>
        <v>-38688.992176774889</v>
      </c>
      <c r="AJ183" s="96">
        <f t="shared" si="476"/>
        <v>46409.957694374025</v>
      </c>
      <c r="AK183" s="96">
        <f t="shared" si="476"/>
        <v>-1733.3791138399392</v>
      </c>
      <c r="AL183" s="96">
        <f t="shared" si="476"/>
        <v>29985.012633264065</v>
      </c>
      <c r="AM183" s="96">
        <f t="shared" si="476"/>
        <v>-91809.703990638256</v>
      </c>
      <c r="AN183" s="96">
        <f t="shared" si="476"/>
        <v>-8334.5314868949354</v>
      </c>
      <c r="AO183" s="96">
        <f t="shared" si="476"/>
        <v>57942.766700375825</v>
      </c>
      <c r="AP183" s="96">
        <f t="shared" si="476"/>
        <v>-50917.992763031274</v>
      </c>
      <c r="AQ183" s="96">
        <f t="shared" si="476"/>
        <v>16143.356432504952</v>
      </c>
      <c r="AR183" s="96">
        <f t="shared" si="476"/>
        <v>72205.499131519347</v>
      </c>
      <c r="AS183" s="96">
        <f t="shared" si="476"/>
        <v>-65480.381522536278</v>
      </c>
      <c r="AT183" s="96">
        <f t="shared" si="476"/>
        <v>46917.563468065113</v>
      </c>
      <c r="AU183" s="96">
        <f t="shared" ref="AU183:BB183" si="477">+AU167-AU177</f>
        <v>-126237.63806092739</v>
      </c>
      <c r="AV183" s="96">
        <f t="shared" si="477"/>
        <v>144189.74450013041</v>
      </c>
      <c r="AW183" s="96">
        <f t="shared" si="477"/>
        <v>6126.6216876059771</v>
      </c>
      <c r="AX183" s="96">
        <f t="shared" si="477"/>
        <v>-65573.219402357936</v>
      </c>
      <c r="AY183" s="96">
        <f t="shared" si="477"/>
        <v>-95979.161010533571</v>
      </c>
      <c r="AZ183" s="96">
        <f t="shared" si="477"/>
        <v>15765.34174246341</v>
      </c>
      <c r="BA183" s="96">
        <f t="shared" si="477"/>
        <v>83686.125155851245</v>
      </c>
      <c r="BB183" s="96">
        <f t="shared" si="477"/>
        <v>-1001019.5064033456</v>
      </c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</row>
    <row r="184" spans="1:67" s="89" customFormat="1" ht="15.6">
      <c r="A184" s="67"/>
      <c r="B184" s="84" t="s">
        <v>32</v>
      </c>
      <c r="C184" s="84"/>
      <c r="D184" s="84"/>
      <c r="E184" s="71"/>
      <c r="F184" s="174">
        <f t="shared" ref="F184:AU184" si="478">F182+F183 + F93</f>
        <v>240652837.38</v>
      </c>
      <c r="G184" s="174">
        <f t="shared" si="478"/>
        <v>27164278.90000001</v>
      </c>
      <c r="H184" s="81">
        <f>H182+H183 + H93</f>
        <v>2741200.2806886546</v>
      </c>
      <c r="I184" s="81">
        <f>I182+I183 + I93</f>
        <v>1732603.2607848234</v>
      </c>
      <c r="J184" s="81">
        <f t="shared" si="478"/>
        <v>1719292.1285691103</v>
      </c>
      <c r="K184" s="81">
        <f>K182+K183 + K93</f>
        <v>660995.58207840845</v>
      </c>
      <c r="L184" s="81">
        <f t="shared" si="478"/>
        <v>849248.90978330933</v>
      </c>
      <c r="M184" s="81">
        <f t="shared" si="478"/>
        <v>847806.12948953081</v>
      </c>
      <c r="N184" s="81">
        <f t="shared" si="478"/>
        <v>1075636.8273857115</v>
      </c>
      <c r="O184" s="81">
        <f t="shared" si="478"/>
        <v>142672.84864890296</v>
      </c>
      <c r="P184" s="81">
        <f t="shared" si="478"/>
        <v>1795037.5230151499</v>
      </c>
      <c r="Q184" s="81">
        <f t="shared" si="478"/>
        <v>1050200.6048411904</v>
      </c>
      <c r="R184" s="81">
        <f t="shared" si="478"/>
        <v>950579.03131617513</v>
      </c>
      <c r="S184" s="81">
        <f t="shared" si="478"/>
        <v>996805.55522903148</v>
      </c>
      <c r="T184" s="81">
        <f t="shared" si="478"/>
        <v>1022160.2083198195</v>
      </c>
      <c r="U184" s="81">
        <f t="shared" si="478"/>
        <v>1092382.7137694983</v>
      </c>
      <c r="V184" s="81">
        <f t="shared" si="478"/>
        <v>1003279.3429050008</v>
      </c>
      <c r="W184" s="81">
        <f t="shared" si="478"/>
        <v>929809.2330430327</v>
      </c>
      <c r="X184" s="81">
        <f t="shared" si="478"/>
        <v>1061822.2570452066</v>
      </c>
      <c r="Y184" s="81">
        <f t="shared" si="478"/>
        <v>1034485.2030029381</v>
      </c>
      <c r="Z184" s="81">
        <f t="shared" si="478"/>
        <v>1062045.3918156615</v>
      </c>
      <c r="AA184" s="81">
        <f t="shared" si="478"/>
        <v>961887.13924307842</v>
      </c>
      <c r="AB184" s="81">
        <f t="shared" si="478"/>
        <v>1066819.7548658187</v>
      </c>
      <c r="AC184" s="81">
        <f t="shared" si="478"/>
        <v>951057.00523560401</v>
      </c>
      <c r="AD184" s="81">
        <f t="shared" si="478"/>
        <v>1066877.8492749063</v>
      </c>
      <c r="AE184" s="81">
        <f t="shared" si="478"/>
        <v>937961.72294021305</v>
      </c>
      <c r="AF184" s="81">
        <f t="shared" si="478"/>
        <v>910527.94222794194</v>
      </c>
      <c r="AG184" s="81">
        <f t="shared" si="478"/>
        <v>948929.20152481552</v>
      </c>
      <c r="AH184" s="81">
        <f t="shared" si="478"/>
        <v>1026402.5167847248</v>
      </c>
      <c r="AI184" s="81">
        <f t="shared" si="478"/>
        <v>987713.52460794989</v>
      </c>
      <c r="AJ184" s="81">
        <f t="shared" si="478"/>
        <v>1034123.4823023239</v>
      </c>
      <c r="AK184" s="81">
        <f t="shared" si="478"/>
        <v>1032390.103188484</v>
      </c>
      <c r="AL184" s="81">
        <f t="shared" si="478"/>
        <v>1062375.115821748</v>
      </c>
      <c r="AM184" s="81">
        <f t="shared" si="478"/>
        <v>970565.41183110978</v>
      </c>
      <c r="AN184" s="81">
        <f t="shared" si="478"/>
        <v>962230.88034421485</v>
      </c>
      <c r="AO184" s="81">
        <f t="shared" si="478"/>
        <v>1020173.6470445907</v>
      </c>
      <c r="AP184" s="81">
        <f t="shared" si="478"/>
        <v>969255.6542815594</v>
      </c>
      <c r="AQ184" s="81">
        <f t="shared" si="478"/>
        <v>985399.01071406435</v>
      </c>
      <c r="AR184" s="81">
        <f t="shared" si="478"/>
        <v>1057604.5098455837</v>
      </c>
      <c r="AS184" s="81">
        <f t="shared" si="478"/>
        <v>992124.12832304742</v>
      </c>
      <c r="AT184" s="81">
        <f t="shared" si="478"/>
        <v>1039041.6917911125</v>
      </c>
      <c r="AU184" s="81">
        <f t="shared" si="478"/>
        <v>912804.05373018514</v>
      </c>
      <c r="AV184" s="81">
        <f t="shared" ref="AV184:BB184" si="479">AV182+AV183 + AV93</f>
        <v>1056993.7982303156</v>
      </c>
      <c r="AW184" s="81">
        <f t="shared" si="479"/>
        <v>1063120.4199179215</v>
      </c>
      <c r="AX184" s="81">
        <f t="shared" si="479"/>
        <v>997547.2005155636</v>
      </c>
      <c r="AY184" s="81">
        <f t="shared" si="479"/>
        <v>901568.03950503003</v>
      </c>
      <c r="AZ184" s="81">
        <f t="shared" si="479"/>
        <v>917333.38124749344</v>
      </c>
      <c r="BA184" s="81">
        <f t="shared" si="479"/>
        <v>1001019.5064033447</v>
      </c>
      <c r="BB184" s="81">
        <f t="shared" si="479"/>
        <v>-9.3132257461547852E-10</v>
      </c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</row>
    <row r="185" spans="1:67" s="53" customFormat="1" ht="15.6">
      <c r="A185" s="5"/>
      <c r="B185" s="121" t="s">
        <v>44</v>
      </c>
      <c r="C185" s="90"/>
      <c r="D185" s="90"/>
      <c r="E185" s="124"/>
      <c r="F185" s="91" t="str">
        <f>IF(F184&lt;0,"Разрыв","ОК")</f>
        <v>ОК</v>
      </c>
      <c r="G185" s="91" t="str">
        <f>IF(G184&lt;0,"Разрыв","ОК")</f>
        <v>ОК</v>
      </c>
      <c r="H185" s="91" t="str">
        <f>IF(H184&lt;0,"Разрыв","ОК")</f>
        <v>ОК</v>
      </c>
      <c r="I185" s="91" t="str">
        <f>IF(I184&lt;0,"Разрыв","ОК")</f>
        <v>ОК</v>
      </c>
      <c r="J185" s="91" t="str">
        <f>IF(J184&lt;0,"Разрыв","ОК")</f>
        <v>ОК</v>
      </c>
      <c r="K185" s="91" t="str">
        <f t="shared" ref="K185:AD185" si="480">IF(K184&lt;0,"Разрыв","ОК")</f>
        <v>ОК</v>
      </c>
      <c r="L185" s="91" t="str">
        <f t="shared" si="480"/>
        <v>ОК</v>
      </c>
      <c r="M185" s="91" t="str">
        <f t="shared" si="480"/>
        <v>ОК</v>
      </c>
      <c r="N185" s="91" t="str">
        <f t="shared" si="480"/>
        <v>ОК</v>
      </c>
      <c r="O185" s="91" t="str">
        <f t="shared" si="480"/>
        <v>ОК</v>
      </c>
      <c r="P185" s="91" t="str">
        <f t="shared" si="480"/>
        <v>ОК</v>
      </c>
      <c r="Q185" s="91" t="str">
        <f t="shared" si="480"/>
        <v>ОК</v>
      </c>
      <c r="R185" s="91" t="str">
        <f t="shared" si="480"/>
        <v>ОК</v>
      </c>
      <c r="S185" s="91" t="str">
        <f t="shared" si="480"/>
        <v>ОК</v>
      </c>
      <c r="T185" s="91" t="str">
        <f t="shared" si="480"/>
        <v>ОК</v>
      </c>
      <c r="U185" s="91" t="str">
        <f t="shared" si="480"/>
        <v>ОК</v>
      </c>
      <c r="V185" s="91" t="str">
        <f t="shared" si="480"/>
        <v>ОК</v>
      </c>
      <c r="W185" s="91" t="str">
        <f t="shared" si="480"/>
        <v>ОК</v>
      </c>
      <c r="X185" s="91" t="str">
        <f t="shared" si="480"/>
        <v>ОК</v>
      </c>
      <c r="Y185" s="91" t="str">
        <f t="shared" si="480"/>
        <v>ОК</v>
      </c>
      <c r="Z185" s="91" t="str">
        <f t="shared" si="480"/>
        <v>ОК</v>
      </c>
      <c r="AA185" s="91" t="str">
        <f t="shared" si="480"/>
        <v>ОК</v>
      </c>
      <c r="AB185" s="91" t="str">
        <f t="shared" si="480"/>
        <v>ОК</v>
      </c>
      <c r="AC185" s="91" t="str">
        <f t="shared" si="480"/>
        <v>ОК</v>
      </c>
      <c r="AD185" s="91" t="str">
        <f t="shared" si="480"/>
        <v>ОК</v>
      </c>
      <c r="AE185" s="91" t="str">
        <f t="shared" ref="AE185:AS185" si="481">IF(AE184&lt;0,"Разрыв","ОК")</f>
        <v>ОК</v>
      </c>
      <c r="AF185" s="91" t="str">
        <f t="shared" si="481"/>
        <v>ОК</v>
      </c>
      <c r="AG185" s="91" t="str">
        <f t="shared" si="481"/>
        <v>ОК</v>
      </c>
      <c r="AH185" s="91" t="str">
        <f t="shared" si="481"/>
        <v>ОК</v>
      </c>
      <c r="AI185" s="91" t="str">
        <f t="shared" si="481"/>
        <v>ОК</v>
      </c>
      <c r="AJ185" s="91" t="str">
        <f t="shared" si="481"/>
        <v>ОК</v>
      </c>
      <c r="AK185" s="91" t="str">
        <f t="shared" si="481"/>
        <v>ОК</v>
      </c>
      <c r="AL185" s="91" t="str">
        <f t="shared" si="481"/>
        <v>ОК</v>
      </c>
      <c r="AM185" s="91" t="str">
        <f t="shared" si="481"/>
        <v>ОК</v>
      </c>
      <c r="AN185" s="91" t="str">
        <f t="shared" si="481"/>
        <v>ОК</v>
      </c>
      <c r="AO185" s="91" t="str">
        <f t="shared" si="481"/>
        <v>ОК</v>
      </c>
      <c r="AP185" s="91" t="str">
        <f t="shared" si="481"/>
        <v>ОК</v>
      </c>
      <c r="AQ185" s="91" t="str">
        <f t="shared" si="481"/>
        <v>ОК</v>
      </c>
      <c r="AR185" s="91" t="str">
        <f t="shared" si="481"/>
        <v>ОК</v>
      </c>
      <c r="AS185" s="91" t="str">
        <f t="shared" si="481"/>
        <v>ОК</v>
      </c>
      <c r="AT185" s="91" t="str">
        <f>IF(AT184&lt;-1,"Разрыв","ОК")</f>
        <v>ОК</v>
      </c>
      <c r="AU185" s="91" t="str">
        <f>IF(AU184&lt;-1,"Разрыв","ОК")</f>
        <v>ОК</v>
      </c>
      <c r="AV185" s="91" t="str">
        <f t="shared" ref="AV185:BB185" si="482">IF(AV184&lt;-1,"Разрыв","ОК")</f>
        <v>ОК</v>
      </c>
      <c r="AW185" s="91" t="str">
        <f t="shared" si="482"/>
        <v>ОК</v>
      </c>
      <c r="AX185" s="91" t="str">
        <f t="shared" si="482"/>
        <v>ОК</v>
      </c>
      <c r="AY185" s="91" t="str">
        <f t="shared" si="482"/>
        <v>ОК</v>
      </c>
      <c r="AZ185" s="91" t="str">
        <f t="shared" si="482"/>
        <v>ОК</v>
      </c>
      <c r="BA185" s="91" t="str">
        <f t="shared" si="482"/>
        <v>ОК</v>
      </c>
      <c r="BB185" s="91" t="str">
        <f t="shared" si="482"/>
        <v>ОК</v>
      </c>
      <c r="BD185" s="464"/>
    </row>
    <row r="186" spans="1:67" hidden="1">
      <c r="G186" s="206"/>
      <c r="H186" s="4"/>
      <c r="I186" s="105"/>
      <c r="J186" s="4"/>
      <c r="K186" s="4"/>
      <c r="L186" s="4"/>
      <c r="M186" s="4"/>
      <c r="AU186" s="5"/>
    </row>
    <row r="187" spans="1:67" s="185" customFormat="1" ht="15.6" hidden="1">
      <c r="B187" s="185" t="s">
        <v>227</v>
      </c>
      <c r="F187" s="186">
        <f>F184-'Отчетность АО9 2024'!H29</f>
        <v>0</v>
      </c>
      <c r="G187" s="186">
        <f>G184-'Отчетность АО9 2024'!K29</f>
        <v>-4142399.9999999702</v>
      </c>
      <c r="H187" s="187"/>
      <c r="I187" s="187"/>
      <c r="J187" s="187"/>
      <c r="K187" s="187"/>
      <c r="L187" s="187"/>
      <c r="M187" s="187"/>
      <c r="N187" s="187"/>
      <c r="O187" s="187"/>
      <c r="P187" s="187"/>
      <c r="Q187" s="187"/>
      <c r="R187" s="187"/>
      <c r="S187" s="187"/>
      <c r="T187" s="187"/>
      <c r="U187" s="187"/>
      <c r="V187" s="187"/>
      <c r="W187" s="187"/>
      <c r="X187" s="187"/>
      <c r="Y187" s="187"/>
      <c r="Z187" s="187"/>
      <c r="AA187" s="187"/>
      <c r="AB187" s="187"/>
      <c r="AC187" s="187"/>
      <c r="AD187" s="187"/>
      <c r="AE187" s="187"/>
      <c r="AF187" s="187"/>
      <c r="AG187" s="187"/>
      <c r="AH187" s="187"/>
      <c r="AI187" s="187"/>
      <c r="AJ187" s="187"/>
      <c r="AK187" s="187"/>
      <c r="AL187" s="187"/>
      <c r="AM187" s="187"/>
      <c r="AN187" s="187"/>
      <c r="AO187" s="187"/>
      <c r="AP187" s="187"/>
      <c r="AQ187" s="187"/>
      <c r="AR187" s="187"/>
      <c r="AS187" s="187"/>
      <c r="AT187" s="187"/>
      <c r="AU187" s="187"/>
      <c r="AV187" s="187"/>
      <c r="AW187" s="187"/>
      <c r="AX187" s="187"/>
      <c r="AY187" s="187"/>
      <c r="AZ187" s="187"/>
      <c r="BA187" s="187"/>
      <c r="BB187" s="187"/>
    </row>
    <row r="188" spans="1:67" s="118" customFormat="1" ht="15.6" hidden="1">
      <c r="B188" s="188" t="s">
        <v>236</v>
      </c>
      <c r="F188" s="15"/>
      <c r="G188" s="189" t="s">
        <v>232</v>
      </c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</row>
    <row r="189" spans="1:67" hidden="1">
      <c r="G189" s="190"/>
      <c r="H189" s="190"/>
      <c r="AV189" s="3"/>
      <c r="AW189" s="3"/>
      <c r="AX189" s="3"/>
      <c r="AY189" s="3"/>
      <c r="AZ189" s="3"/>
      <c r="BA189" s="3"/>
      <c r="BB189" s="3"/>
    </row>
    <row r="190" spans="1:67" hidden="1">
      <c r="F190" s="16"/>
      <c r="G190" s="16"/>
      <c r="H190" s="190"/>
      <c r="I190" s="384"/>
      <c r="AV190" s="3"/>
      <c r="AW190" s="3"/>
      <c r="AX190" s="3"/>
      <c r="AY190" s="3"/>
      <c r="AZ190" s="3"/>
      <c r="BA190" s="3"/>
      <c r="BB190" s="3"/>
    </row>
    <row r="191" spans="1:67">
      <c r="AV191" s="3"/>
      <c r="AW191" s="3"/>
      <c r="AX191" s="3"/>
      <c r="AY191" s="3"/>
      <c r="AZ191" s="3"/>
      <c r="BA191" s="3"/>
      <c r="BB191" s="3"/>
    </row>
    <row r="192" spans="1:67" ht="15.6" hidden="1">
      <c r="B192" s="468" t="s">
        <v>295</v>
      </c>
      <c r="C192" s="469"/>
      <c r="D192" s="469"/>
      <c r="E192" s="469"/>
      <c r="F192" s="470">
        <f t="shared" ref="F192:BB192" si="483">F90</f>
        <v>45473</v>
      </c>
      <c r="G192" s="470">
        <f t="shared" si="483"/>
        <v>45565</v>
      </c>
      <c r="H192" s="470">
        <f t="shared" si="483"/>
        <v>45657</v>
      </c>
      <c r="I192" s="470">
        <f t="shared" si="483"/>
        <v>45747</v>
      </c>
      <c r="J192" s="470">
        <f t="shared" si="483"/>
        <v>45838</v>
      </c>
      <c r="K192" s="470">
        <f t="shared" si="483"/>
        <v>45930</v>
      </c>
      <c r="L192" s="470">
        <f t="shared" si="483"/>
        <v>46022</v>
      </c>
      <c r="M192" s="470">
        <f t="shared" si="483"/>
        <v>46112</v>
      </c>
      <c r="N192" s="470">
        <f t="shared" si="483"/>
        <v>46203</v>
      </c>
      <c r="O192" s="470">
        <f t="shared" si="483"/>
        <v>46295</v>
      </c>
      <c r="P192" s="470">
        <f t="shared" si="483"/>
        <v>46387</v>
      </c>
      <c r="Q192" s="470">
        <f t="shared" si="483"/>
        <v>46477</v>
      </c>
      <c r="R192" s="470">
        <f t="shared" si="483"/>
        <v>46568</v>
      </c>
      <c r="S192" s="470">
        <f t="shared" si="483"/>
        <v>46660</v>
      </c>
      <c r="T192" s="470">
        <f t="shared" si="483"/>
        <v>46752</v>
      </c>
      <c r="U192" s="470">
        <f t="shared" si="483"/>
        <v>46843</v>
      </c>
      <c r="V192" s="470">
        <f t="shared" si="483"/>
        <v>46934</v>
      </c>
      <c r="W192" s="470">
        <f t="shared" si="483"/>
        <v>47026</v>
      </c>
      <c r="X192" s="470">
        <f t="shared" si="483"/>
        <v>47118</v>
      </c>
      <c r="Y192" s="470">
        <f t="shared" si="483"/>
        <v>47208</v>
      </c>
      <c r="Z192" s="470">
        <f t="shared" si="483"/>
        <v>47299</v>
      </c>
      <c r="AA192" s="470">
        <f t="shared" si="483"/>
        <v>47391</v>
      </c>
      <c r="AB192" s="470">
        <f t="shared" si="483"/>
        <v>47483</v>
      </c>
      <c r="AC192" s="470">
        <f t="shared" si="483"/>
        <v>47573</v>
      </c>
      <c r="AD192" s="470">
        <f t="shared" si="483"/>
        <v>47664</v>
      </c>
      <c r="AE192" s="470">
        <f t="shared" si="483"/>
        <v>47756</v>
      </c>
      <c r="AF192" s="470">
        <f t="shared" si="483"/>
        <v>47848</v>
      </c>
      <c r="AG192" s="470">
        <f t="shared" si="483"/>
        <v>47938</v>
      </c>
      <c r="AH192" s="470">
        <f t="shared" si="483"/>
        <v>48029</v>
      </c>
      <c r="AI192" s="470">
        <f t="shared" si="483"/>
        <v>48121</v>
      </c>
      <c r="AJ192" s="470">
        <f t="shared" si="483"/>
        <v>48213</v>
      </c>
      <c r="AK192" s="470">
        <f t="shared" si="483"/>
        <v>48304</v>
      </c>
      <c r="AL192" s="470">
        <f t="shared" si="483"/>
        <v>48395</v>
      </c>
      <c r="AM192" s="470">
        <f t="shared" si="483"/>
        <v>48487</v>
      </c>
      <c r="AN192" s="470">
        <f t="shared" si="483"/>
        <v>48579</v>
      </c>
      <c r="AO192" s="470">
        <f t="shared" si="483"/>
        <v>48669</v>
      </c>
      <c r="AP192" s="470">
        <f t="shared" si="483"/>
        <v>48760</v>
      </c>
      <c r="AQ192" s="470">
        <f t="shared" si="483"/>
        <v>48852</v>
      </c>
      <c r="AR192" s="470">
        <f t="shared" si="483"/>
        <v>48944</v>
      </c>
      <c r="AS192" s="470">
        <f t="shared" si="483"/>
        <v>49034</v>
      </c>
      <c r="AT192" s="470">
        <f t="shared" si="483"/>
        <v>49125</v>
      </c>
      <c r="AU192" s="470">
        <f t="shared" si="483"/>
        <v>49217</v>
      </c>
      <c r="AV192" s="470">
        <f t="shared" si="483"/>
        <v>49309</v>
      </c>
      <c r="AW192" s="470">
        <f t="shared" si="483"/>
        <v>49399</v>
      </c>
      <c r="AX192" s="470">
        <f t="shared" si="483"/>
        <v>49490</v>
      </c>
      <c r="AY192" s="470">
        <f t="shared" si="483"/>
        <v>49582</v>
      </c>
      <c r="AZ192" s="470">
        <f t="shared" si="483"/>
        <v>49674</v>
      </c>
      <c r="BA192" s="470">
        <f t="shared" si="483"/>
        <v>49765</v>
      </c>
      <c r="BB192" s="470">
        <f t="shared" si="483"/>
        <v>49856</v>
      </c>
    </row>
    <row r="193" spans="2:54" hidden="1">
      <c r="AV193" s="3"/>
      <c r="AW193" s="3"/>
      <c r="AX193" s="3"/>
      <c r="AY193" s="3"/>
      <c r="AZ193" s="3"/>
      <c r="BA193" s="3"/>
      <c r="BB193" s="3"/>
    </row>
    <row r="194" spans="2:54" hidden="1">
      <c r="B194" s="5" t="s">
        <v>124</v>
      </c>
      <c r="F194" s="9">
        <f>F175</f>
        <v>20000</v>
      </c>
      <c r="G194" s="9">
        <f t="shared" ref="G194:BB194" si="484">G175</f>
        <v>22000</v>
      </c>
      <c r="H194" s="9">
        <f t="shared" si="484"/>
        <v>23000</v>
      </c>
      <c r="I194" s="9">
        <f t="shared" si="484"/>
        <v>23561.086363485454</v>
      </c>
      <c r="J194" s="9">
        <f t="shared" si="484"/>
        <v>24176.613366734695</v>
      </c>
      <c r="K194" s="9">
        <f t="shared" si="484"/>
        <v>24692.035273523124</v>
      </c>
      <c r="L194" s="9">
        <f t="shared" si="484"/>
        <v>26116.947412493599</v>
      </c>
      <c r="M194" s="9">
        <f t="shared" si="484"/>
        <v>26808.934763819361</v>
      </c>
      <c r="N194" s="9">
        <f t="shared" si="484"/>
        <v>27520.117388221897</v>
      </c>
      <c r="O194" s="9">
        <f t="shared" si="484"/>
        <v>28119.050921038721</v>
      </c>
      <c r="P194" s="9">
        <f t="shared" si="484"/>
        <v>28961.974486524912</v>
      </c>
      <c r="Q194" s="9">
        <f t="shared" si="484"/>
        <v>29689.016840935696</v>
      </c>
      <c r="R194" s="9">
        <f t="shared" si="484"/>
        <v>30456.481055990327</v>
      </c>
      <c r="S194" s="9">
        <f t="shared" si="484"/>
        <v>31170.363304184237</v>
      </c>
      <c r="T194" s="9">
        <f t="shared" si="484"/>
        <v>32011.97968910999</v>
      </c>
      <c r="U194" s="9">
        <f t="shared" si="484"/>
        <v>32857.912866122722</v>
      </c>
      <c r="V194" s="9">
        <f t="shared" si="484"/>
        <v>33705.616891011479</v>
      </c>
      <c r="W194" s="9">
        <f t="shared" si="484"/>
        <v>34487.267387931199</v>
      </c>
      <c r="X194" s="9">
        <f t="shared" si="484"/>
        <v>35420.728371287085</v>
      </c>
      <c r="Y194" s="9">
        <f t="shared" si="484"/>
        <v>36348.728868526567</v>
      </c>
      <c r="Z194" s="9">
        <f t="shared" si="484"/>
        <v>37289.983827551347</v>
      </c>
      <c r="AA194" s="9">
        <f t="shared" si="484"/>
        <v>38151.460873166849</v>
      </c>
      <c r="AB194" s="9">
        <f t="shared" si="484"/>
        <v>39178.985349604387</v>
      </c>
      <c r="AC194" s="9">
        <f t="shared" si="484"/>
        <v>40198.318454316584</v>
      </c>
      <c r="AD194" s="9">
        <f t="shared" si="484"/>
        <v>41240.641597987378</v>
      </c>
      <c r="AE194" s="9">
        <f t="shared" si="484"/>
        <v>42190.087859621148</v>
      </c>
      <c r="AF194" s="9">
        <f t="shared" si="484"/>
        <v>43316.17779167281</v>
      </c>
      <c r="AG194" s="9">
        <f t="shared" si="484"/>
        <v>44448.465628372942</v>
      </c>
      <c r="AH194" s="9">
        <f t="shared" si="484"/>
        <v>48334.771045197245</v>
      </c>
      <c r="AI194" s="9">
        <f t="shared" si="484"/>
        <v>51924.016571631742</v>
      </c>
      <c r="AJ194" s="9">
        <f t="shared" si="484"/>
        <v>56140.768451652082</v>
      </c>
      <c r="AK194" s="9">
        <f t="shared" si="484"/>
        <v>60368.423075291736</v>
      </c>
      <c r="AL194" s="9">
        <f t="shared" si="484"/>
        <v>61904.345412519244</v>
      </c>
      <c r="AM194" s="9">
        <f t="shared" si="484"/>
        <v>63316.209736229051</v>
      </c>
      <c r="AN194" s="9">
        <f t="shared" si="484"/>
        <v>64983.522766178474</v>
      </c>
      <c r="AO194" s="9">
        <f t="shared" si="484"/>
        <v>66658.78247515054</v>
      </c>
      <c r="AP194" s="9">
        <f t="shared" si="484"/>
        <v>68347.349805607868</v>
      </c>
      <c r="AQ194" s="9">
        <f t="shared" si="484"/>
        <v>69909.329305548337</v>
      </c>
      <c r="AR194" s="9">
        <f t="shared" si="484"/>
        <v>71750.64847353629</v>
      </c>
      <c r="AS194" s="9">
        <f t="shared" si="484"/>
        <v>73590.419466249543</v>
      </c>
      <c r="AT194" s="9">
        <f t="shared" si="484"/>
        <v>75456.233086082546</v>
      </c>
      <c r="AU194" s="9">
        <f t="shared" si="484"/>
        <v>77170.669875917243</v>
      </c>
      <c r="AV194" s="9">
        <f t="shared" si="484"/>
        <v>79202.743696347316</v>
      </c>
      <c r="AW194" s="9">
        <f t="shared" si="484"/>
        <v>81233.831050326567</v>
      </c>
      <c r="AX194" s="9">
        <f t="shared" si="484"/>
        <v>83283.969225136811</v>
      </c>
      <c r="AY194" s="9">
        <f t="shared" si="484"/>
        <v>85384.550151599426</v>
      </c>
      <c r="AZ194" s="9">
        <f t="shared" si="484"/>
        <v>87543.870700721935</v>
      </c>
      <c r="BA194" s="9">
        <f t="shared" si="484"/>
        <v>89761.124884344361</v>
      </c>
      <c r="BB194" s="9">
        <f t="shared" si="484"/>
        <v>91981.070222577764</v>
      </c>
    </row>
    <row r="195" spans="2:54" hidden="1">
      <c r="B195" s="5" t="s">
        <v>85</v>
      </c>
      <c r="F195" s="190">
        <f>F178</f>
        <v>0</v>
      </c>
      <c r="G195" s="190">
        <f t="shared" ref="G195:BB195" si="485">G178</f>
        <v>400</v>
      </c>
      <c r="H195" s="190">
        <f t="shared" si="485"/>
        <v>400</v>
      </c>
      <c r="I195" s="190">
        <f t="shared" si="485"/>
        <v>400</v>
      </c>
      <c r="J195" s="190">
        <f t="shared" si="485"/>
        <v>400</v>
      </c>
      <c r="K195" s="190">
        <f t="shared" si="485"/>
        <v>400</v>
      </c>
      <c r="L195" s="190">
        <f t="shared" si="485"/>
        <v>400</v>
      </c>
      <c r="M195" s="190">
        <f t="shared" si="485"/>
        <v>400</v>
      </c>
      <c r="N195" s="190">
        <f t="shared" si="485"/>
        <v>400</v>
      </c>
      <c r="O195" s="190">
        <f t="shared" si="485"/>
        <v>400</v>
      </c>
      <c r="P195" s="190">
        <f t="shared" si="485"/>
        <v>400</v>
      </c>
      <c r="Q195" s="190">
        <f t="shared" si="485"/>
        <v>510</v>
      </c>
      <c r="R195" s="190">
        <f t="shared" si="485"/>
        <v>490</v>
      </c>
      <c r="S195" s="190">
        <f t="shared" si="485"/>
        <v>420</v>
      </c>
      <c r="T195" s="190">
        <f t="shared" si="485"/>
        <v>530</v>
      </c>
      <c r="U195" s="190">
        <f t="shared" si="485"/>
        <v>520</v>
      </c>
      <c r="V195" s="190">
        <f t="shared" si="485"/>
        <v>540</v>
      </c>
      <c r="W195" s="190">
        <f t="shared" si="485"/>
        <v>470</v>
      </c>
      <c r="X195" s="190">
        <f t="shared" si="485"/>
        <v>580</v>
      </c>
      <c r="Y195" s="190">
        <f t="shared" si="485"/>
        <v>580</v>
      </c>
      <c r="Z195" s="190">
        <f t="shared" si="485"/>
        <v>590</v>
      </c>
      <c r="AA195" s="190">
        <f t="shared" si="485"/>
        <v>520</v>
      </c>
      <c r="AB195" s="190">
        <f t="shared" si="485"/>
        <v>600</v>
      </c>
      <c r="AC195" s="190">
        <f t="shared" si="485"/>
        <v>570</v>
      </c>
      <c r="AD195" s="190">
        <f t="shared" si="485"/>
        <v>570</v>
      </c>
      <c r="AE195" s="190">
        <f t="shared" si="485"/>
        <v>510</v>
      </c>
      <c r="AF195" s="190">
        <f t="shared" si="485"/>
        <v>630</v>
      </c>
      <c r="AG195" s="190">
        <f t="shared" si="485"/>
        <v>620</v>
      </c>
      <c r="AH195" s="190">
        <f t="shared" si="485"/>
        <v>630</v>
      </c>
      <c r="AI195" s="190">
        <f t="shared" si="485"/>
        <v>550</v>
      </c>
      <c r="AJ195" s="190">
        <f t="shared" si="485"/>
        <v>680</v>
      </c>
      <c r="AK195" s="190">
        <f t="shared" si="485"/>
        <v>670</v>
      </c>
      <c r="AL195" s="190">
        <f t="shared" si="485"/>
        <v>850</v>
      </c>
      <c r="AM195" s="190">
        <f t="shared" si="485"/>
        <v>750</v>
      </c>
      <c r="AN195" s="190">
        <f t="shared" si="485"/>
        <v>930</v>
      </c>
      <c r="AO195" s="190">
        <f t="shared" si="485"/>
        <v>920</v>
      </c>
      <c r="AP195" s="190">
        <f t="shared" si="485"/>
        <v>940</v>
      </c>
      <c r="AQ195" s="190">
        <f t="shared" si="485"/>
        <v>820</v>
      </c>
      <c r="AR195" s="190">
        <f t="shared" si="485"/>
        <v>1020</v>
      </c>
      <c r="AS195" s="190">
        <f t="shared" si="485"/>
        <v>1020</v>
      </c>
      <c r="AT195" s="190">
        <f t="shared" si="485"/>
        <v>1030</v>
      </c>
      <c r="AU195" s="190">
        <f t="shared" si="485"/>
        <v>910</v>
      </c>
      <c r="AV195" s="190">
        <f t="shared" si="485"/>
        <v>1120</v>
      </c>
      <c r="AW195" s="190">
        <f t="shared" si="485"/>
        <v>1120</v>
      </c>
      <c r="AX195" s="190">
        <f t="shared" si="485"/>
        <v>1140</v>
      </c>
      <c r="AY195" s="190">
        <f t="shared" si="485"/>
        <v>1000</v>
      </c>
      <c r="AZ195" s="190">
        <f t="shared" si="485"/>
        <v>1240</v>
      </c>
      <c r="BA195" s="190">
        <f t="shared" si="485"/>
        <v>1230</v>
      </c>
      <c r="BB195" s="190">
        <f t="shared" si="485"/>
        <v>1300.8615991292766</v>
      </c>
    </row>
    <row r="196" spans="2:54" hidden="1">
      <c r="AV196" s="3"/>
      <c r="AW196" s="3"/>
      <c r="AX196" s="3"/>
      <c r="AY196" s="3"/>
      <c r="AZ196" s="3"/>
      <c r="BA196" s="3"/>
      <c r="BB196" s="3"/>
    </row>
    <row r="197" spans="2:54" hidden="1">
      <c r="AV197" s="3"/>
      <c r="AW197" s="3"/>
      <c r="AX197" s="3"/>
      <c r="AY197" s="3"/>
      <c r="AZ197" s="3"/>
      <c r="BA197" s="3"/>
      <c r="BB197" s="3"/>
    </row>
    <row r="198" spans="2:54" ht="15.6" hidden="1">
      <c r="B198" s="8" t="s">
        <v>295</v>
      </c>
      <c r="C198" s="355"/>
      <c r="D198" s="355"/>
      <c r="E198" s="355"/>
      <c r="F198" s="57">
        <f>F90</f>
        <v>45473</v>
      </c>
      <c r="G198" s="57">
        <f t="shared" ref="G198:AU198" si="486">G90</f>
        <v>45565</v>
      </c>
      <c r="H198" s="57">
        <f t="shared" si="486"/>
        <v>45657</v>
      </c>
      <c r="I198" s="57">
        <f t="shared" si="486"/>
        <v>45747</v>
      </c>
      <c r="J198" s="57">
        <f t="shared" si="486"/>
        <v>45838</v>
      </c>
      <c r="K198" s="57">
        <f t="shared" si="486"/>
        <v>45930</v>
      </c>
      <c r="L198" s="57">
        <f t="shared" si="486"/>
        <v>46022</v>
      </c>
      <c r="M198" s="57">
        <f t="shared" si="486"/>
        <v>46112</v>
      </c>
      <c r="N198" s="57">
        <f t="shared" si="486"/>
        <v>46203</v>
      </c>
      <c r="O198" s="57">
        <f t="shared" si="486"/>
        <v>46295</v>
      </c>
      <c r="P198" s="57">
        <f t="shared" si="486"/>
        <v>46387</v>
      </c>
      <c r="Q198" s="57">
        <f t="shared" si="486"/>
        <v>46477</v>
      </c>
      <c r="R198" s="57">
        <f t="shared" si="486"/>
        <v>46568</v>
      </c>
      <c r="S198" s="57">
        <f t="shared" si="486"/>
        <v>46660</v>
      </c>
      <c r="T198" s="57">
        <f t="shared" si="486"/>
        <v>46752</v>
      </c>
      <c r="U198" s="57">
        <f t="shared" si="486"/>
        <v>46843</v>
      </c>
      <c r="V198" s="57">
        <f t="shared" si="486"/>
        <v>46934</v>
      </c>
      <c r="W198" s="57">
        <f t="shared" si="486"/>
        <v>47026</v>
      </c>
      <c r="X198" s="57">
        <f t="shared" si="486"/>
        <v>47118</v>
      </c>
      <c r="Y198" s="57">
        <f t="shared" si="486"/>
        <v>47208</v>
      </c>
      <c r="Z198" s="57">
        <f t="shared" si="486"/>
        <v>47299</v>
      </c>
      <c r="AA198" s="57">
        <f t="shared" si="486"/>
        <v>47391</v>
      </c>
      <c r="AB198" s="57">
        <f t="shared" si="486"/>
        <v>47483</v>
      </c>
      <c r="AC198" s="57">
        <f t="shared" si="486"/>
        <v>47573</v>
      </c>
      <c r="AD198" s="57">
        <f t="shared" si="486"/>
        <v>47664</v>
      </c>
      <c r="AE198" s="57">
        <f t="shared" si="486"/>
        <v>47756</v>
      </c>
      <c r="AF198" s="57">
        <f t="shared" si="486"/>
        <v>47848</v>
      </c>
      <c r="AG198" s="57">
        <f t="shared" si="486"/>
        <v>47938</v>
      </c>
      <c r="AH198" s="57">
        <f t="shared" si="486"/>
        <v>48029</v>
      </c>
      <c r="AI198" s="57">
        <f t="shared" si="486"/>
        <v>48121</v>
      </c>
      <c r="AJ198" s="57">
        <f t="shared" si="486"/>
        <v>48213</v>
      </c>
      <c r="AK198" s="57">
        <f t="shared" si="486"/>
        <v>48304</v>
      </c>
      <c r="AL198" s="57">
        <f t="shared" si="486"/>
        <v>48395</v>
      </c>
      <c r="AM198" s="57">
        <f t="shared" si="486"/>
        <v>48487</v>
      </c>
      <c r="AN198" s="57">
        <f t="shared" si="486"/>
        <v>48579</v>
      </c>
      <c r="AO198" s="57">
        <f t="shared" si="486"/>
        <v>48669</v>
      </c>
      <c r="AP198" s="57">
        <f t="shared" si="486"/>
        <v>48760</v>
      </c>
      <c r="AQ198" s="57">
        <f t="shared" si="486"/>
        <v>48852</v>
      </c>
      <c r="AR198" s="57">
        <f t="shared" si="486"/>
        <v>48944</v>
      </c>
      <c r="AS198" s="57">
        <f t="shared" si="486"/>
        <v>49034</v>
      </c>
      <c r="AT198" s="57">
        <f t="shared" si="486"/>
        <v>49125</v>
      </c>
      <c r="AU198" s="57">
        <f t="shared" si="486"/>
        <v>49217</v>
      </c>
      <c r="AV198" s="57">
        <f t="shared" ref="AV198:BB198" si="487">AV90</f>
        <v>49309</v>
      </c>
      <c r="AW198" s="57">
        <f t="shared" si="487"/>
        <v>49399</v>
      </c>
      <c r="AX198" s="57">
        <f t="shared" si="487"/>
        <v>49490</v>
      </c>
      <c r="AY198" s="57">
        <f t="shared" si="487"/>
        <v>49582</v>
      </c>
      <c r="AZ198" s="57">
        <f t="shared" si="487"/>
        <v>49674</v>
      </c>
      <c r="BA198" s="57">
        <f t="shared" si="487"/>
        <v>49765</v>
      </c>
      <c r="BB198" s="57">
        <f t="shared" si="487"/>
        <v>49856</v>
      </c>
    </row>
    <row r="199" spans="2:54" hidden="1">
      <c r="AV199" s="3"/>
      <c r="AW199" s="3"/>
      <c r="AX199" s="3"/>
      <c r="AY199" s="3"/>
      <c r="AZ199" s="3"/>
      <c r="BA199" s="3"/>
      <c r="BB199" s="3"/>
    </row>
    <row r="200" spans="2:54" ht="15.6" hidden="1">
      <c r="B200" s="53" t="s">
        <v>319</v>
      </c>
      <c r="AV200" s="3"/>
      <c r="AW200" s="3"/>
      <c r="AX200" s="3"/>
      <c r="AY200" s="3"/>
      <c r="AZ200" s="3"/>
      <c r="BA200" s="3"/>
      <c r="BB200" s="3"/>
    </row>
    <row r="201" spans="2:54" hidden="1">
      <c r="AV201" s="3"/>
      <c r="AW201" s="3"/>
      <c r="AX201" s="3"/>
      <c r="AY201" s="3"/>
      <c r="AZ201" s="3"/>
      <c r="BA201" s="3"/>
      <c r="BB201" s="3"/>
    </row>
    <row r="202" spans="2:54" ht="15.6" hidden="1">
      <c r="B202" s="8" t="s">
        <v>320</v>
      </c>
      <c r="C202" s="356">
        <f>XIRR(F211:G211,F198:G198)</f>
        <v>0.5677151501178741</v>
      </c>
      <c r="D202" s="357"/>
      <c r="AV202" s="3"/>
      <c r="AW202" s="3"/>
      <c r="AX202" s="3"/>
      <c r="AY202" s="3"/>
      <c r="AZ202" s="3"/>
      <c r="BA202" s="3"/>
      <c r="BB202" s="3"/>
    </row>
    <row r="203" spans="2:54" ht="15.6" hidden="1">
      <c r="B203" s="8" t="s">
        <v>321</v>
      </c>
      <c r="C203" s="358">
        <f>G209</f>
        <v>0.08</v>
      </c>
      <c r="AV203" s="3"/>
      <c r="AW203" s="3"/>
      <c r="AX203" s="3"/>
      <c r="AY203" s="3"/>
      <c r="AZ203" s="3"/>
      <c r="BA203" s="3"/>
      <c r="BB203" s="3"/>
    </row>
    <row r="204" spans="2:54" hidden="1">
      <c r="AV204" s="3"/>
      <c r="AW204" s="3"/>
      <c r="AX204" s="3"/>
      <c r="AY204" s="3"/>
      <c r="AZ204" s="3"/>
      <c r="BA204" s="3"/>
      <c r="BB204" s="3"/>
    </row>
    <row r="205" spans="2:54" hidden="1">
      <c r="AV205" s="3"/>
      <c r="AW205" s="3"/>
      <c r="AX205" s="3"/>
      <c r="AY205" s="3"/>
      <c r="AZ205" s="3"/>
      <c r="BA205" s="3"/>
      <c r="BB205" s="3"/>
    </row>
    <row r="206" spans="2:54" hidden="1">
      <c r="B206" s="5" t="s">
        <v>322</v>
      </c>
      <c r="F206" s="80">
        <f>-F175</f>
        <v>-20000</v>
      </c>
      <c r="G206" s="9">
        <f>G175</f>
        <v>22000</v>
      </c>
      <c r="K206" s="9"/>
      <c r="L206" s="9"/>
      <c r="M206" s="9"/>
      <c r="N206" s="9"/>
      <c r="O206" s="9"/>
      <c r="AV206" s="3"/>
      <c r="AW206" s="3"/>
      <c r="AX206" s="3"/>
      <c r="AY206" s="3"/>
      <c r="AZ206" s="3"/>
      <c r="BA206" s="3"/>
      <c r="BB206" s="3"/>
    </row>
    <row r="207" spans="2:54" hidden="1">
      <c r="B207" s="5" t="s">
        <v>323</v>
      </c>
      <c r="F207" s="190">
        <f>F178</f>
        <v>0</v>
      </c>
      <c r="G207" s="190">
        <f>G178</f>
        <v>400</v>
      </c>
      <c r="AV207" s="3"/>
      <c r="AW207" s="3"/>
      <c r="AX207" s="3"/>
      <c r="AY207" s="3"/>
      <c r="AZ207" s="3"/>
      <c r="BA207" s="3"/>
      <c r="BB207" s="3"/>
    </row>
    <row r="208" spans="2:54" hidden="1">
      <c r="AV208" s="3"/>
      <c r="AW208" s="3"/>
      <c r="AX208" s="3"/>
      <c r="AY208" s="3"/>
      <c r="AZ208" s="3"/>
      <c r="BA208" s="3"/>
      <c r="BB208" s="3"/>
    </row>
    <row r="209" spans="2:54" s="359" customFormat="1" ht="15.6" hidden="1">
      <c r="B209" s="359" t="s">
        <v>324</v>
      </c>
      <c r="F209" s="360">
        <f>F207/$F$206*-1*4</f>
        <v>0</v>
      </c>
      <c r="G209" s="360">
        <f>G207/$F$206*-1*4</f>
        <v>0.08</v>
      </c>
      <c r="H209" s="360"/>
      <c r="I209" s="360"/>
      <c r="J209" s="360"/>
      <c r="K209" s="360"/>
      <c r="L209" s="360"/>
      <c r="M209" s="360"/>
      <c r="N209" s="360"/>
      <c r="O209" s="360"/>
      <c r="P209" s="360"/>
      <c r="Q209" s="360"/>
      <c r="R209" s="360"/>
      <c r="S209" s="360"/>
      <c r="T209" s="360"/>
      <c r="U209" s="360"/>
      <c r="V209" s="360"/>
      <c r="W209" s="360"/>
      <c r="X209" s="360"/>
      <c r="Y209" s="360"/>
      <c r="Z209" s="360"/>
      <c r="AA209" s="360"/>
      <c r="AB209" s="360"/>
      <c r="AC209" s="360"/>
      <c r="AD209" s="360"/>
      <c r="AE209" s="360"/>
      <c r="AF209" s="360"/>
      <c r="AG209" s="360"/>
      <c r="AH209" s="360"/>
      <c r="AI209" s="360"/>
      <c r="AJ209" s="360"/>
      <c r="AK209" s="360"/>
      <c r="AL209" s="360"/>
      <c r="AM209" s="360"/>
      <c r="AN209" s="360"/>
      <c r="AO209" s="360"/>
      <c r="AP209" s="360"/>
      <c r="AQ209" s="360"/>
      <c r="AR209" s="360"/>
      <c r="AS209" s="360"/>
      <c r="AT209" s="360"/>
      <c r="AU209" s="360"/>
      <c r="AV209" s="360"/>
      <c r="AW209" s="360"/>
      <c r="AX209" s="360"/>
      <c r="AY209" s="360"/>
      <c r="AZ209" s="360"/>
      <c r="BA209" s="360"/>
      <c r="BB209" s="360"/>
    </row>
    <row r="210" spans="2:54" hidden="1">
      <c r="AV210" s="3"/>
      <c r="AW210" s="3"/>
      <c r="AX210" s="3"/>
      <c r="AY210" s="3"/>
      <c r="AZ210" s="3"/>
      <c r="BA210" s="3"/>
      <c r="BB210" s="3"/>
    </row>
    <row r="211" spans="2:54" ht="15.6" hidden="1">
      <c r="B211" s="49" t="s">
        <v>325</v>
      </c>
      <c r="C211" s="49"/>
      <c r="D211" s="49"/>
      <c r="E211" s="49"/>
      <c r="F211" s="361">
        <f t="shared" ref="F211:N211" si="488">SUM(F206:F207)</f>
        <v>-20000</v>
      </c>
      <c r="G211" s="361">
        <f t="shared" si="488"/>
        <v>22400</v>
      </c>
      <c r="H211" s="361">
        <f t="shared" si="488"/>
        <v>0</v>
      </c>
      <c r="I211" s="361">
        <f t="shared" si="488"/>
        <v>0</v>
      </c>
      <c r="J211" s="361">
        <f t="shared" si="488"/>
        <v>0</v>
      </c>
      <c r="K211" s="361">
        <f t="shared" si="488"/>
        <v>0</v>
      </c>
      <c r="L211" s="361">
        <f t="shared" si="488"/>
        <v>0</v>
      </c>
      <c r="M211" s="361">
        <f t="shared" si="488"/>
        <v>0</v>
      </c>
      <c r="N211" s="361">
        <f t="shared" si="488"/>
        <v>0</v>
      </c>
      <c r="O211" s="361">
        <f>SUM(O206:O207)</f>
        <v>0</v>
      </c>
      <c r="P211" s="362"/>
      <c r="Q211" s="362"/>
      <c r="R211" s="362"/>
      <c r="S211" s="362"/>
      <c r="T211" s="362"/>
      <c r="U211" s="362"/>
      <c r="V211" s="362"/>
      <c r="W211" s="362"/>
      <c r="X211" s="362"/>
      <c r="Y211" s="362"/>
      <c r="Z211" s="362"/>
      <c r="AA211" s="362"/>
      <c r="AB211" s="362"/>
      <c r="AC211" s="362"/>
      <c r="AD211" s="362"/>
      <c r="AE211" s="362"/>
      <c r="AF211" s="362"/>
      <c r="AG211" s="362"/>
      <c r="AH211" s="362"/>
      <c r="AI211" s="362"/>
      <c r="AJ211" s="362"/>
      <c r="AK211" s="362"/>
      <c r="AL211" s="362"/>
      <c r="AM211" s="362"/>
      <c r="AN211" s="362"/>
      <c r="AO211" s="362"/>
      <c r="AP211" s="362"/>
      <c r="AQ211" s="362"/>
      <c r="AR211" s="362"/>
      <c r="AS211" s="362"/>
      <c r="AT211" s="362"/>
      <c r="AU211" s="362"/>
      <c r="AV211" s="362"/>
      <c r="AW211" s="362"/>
      <c r="AX211" s="362"/>
      <c r="AY211" s="362"/>
      <c r="AZ211" s="362"/>
      <c r="BA211" s="362"/>
      <c r="BB211" s="362"/>
    </row>
    <row r="212" spans="2:54" hidden="1">
      <c r="AV212" s="3"/>
      <c r="AW212" s="3"/>
      <c r="AX212" s="3"/>
      <c r="AY212" s="3"/>
      <c r="AZ212" s="3"/>
      <c r="BA212" s="3"/>
      <c r="BB212" s="3"/>
    </row>
    <row r="213" spans="2:54" ht="15.6" hidden="1">
      <c r="B213" s="53" t="s">
        <v>326</v>
      </c>
      <c r="AV213" s="3"/>
      <c r="AW213" s="3"/>
      <c r="AX213" s="3"/>
      <c r="AY213" s="3"/>
      <c r="AZ213" s="3"/>
      <c r="BA213" s="3"/>
      <c r="BB213" s="3"/>
    </row>
    <row r="214" spans="2:54" hidden="1">
      <c r="AV214" s="3"/>
      <c r="AW214" s="3"/>
      <c r="AX214" s="3"/>
      <c r="AY214" s="3"/>
      <c r="AZ214" s="3"/>
      <c r="BA214" s="3"/>
      <c r="BB214" s="3"/>
    </row>
    <row r="215" spans="2:54" ht="15.6" hidden="1">
      <c r="B215" s="8" t="s">
        <v>320</v>
      </c>
      <c r="C215" s="356">
        <f>XIRR(G224:AU224,G198:AU198)</f>
        <v>0.19969812035560611</v>
      </c>
      <c r="AV215" s="3"/>
      <c r="AW215" s="3"/>
      <c r="AX215" s="3"/>
      <c r="AY215" s="3"/>
      <c r="AZ215" s="3"/>
      <c r="BA215" s="3"/>
      <c r="BB215" s="3"/>
    </row>
    <row r="216" spans="2:54" ht="15.6" hidden="1">
      <c r="B216" s="8" t="s">
        <v>321</v>
      </c>
      <c r="C216" s="363">
        <f>AVERAGE(H222:AU222)</f>
        <v>0.11168181818181817</v>
      </c>
      <c r="AV216" s="3"/>
      <c r="AW216" s="3"/>
      <c r="AX216" s="3"/>
      <c r="AY216" s="3"/>
      <c r="AZ216" s="3"/>
      <c r="BA216" s="3"/>
      <c r="BB216" s="3"/>
    </row>
    <row r="217" spans="2:54" hidden="1">
      <c r="AV217" s="3"/>
      <c r="AW217" s="3"/>
      <c r="AX217" s="3"/>
      <c r="AY217" s="3"/>
      <c r="AZ217" s="3"/>
      <c r="BA217" s="3"/>
      <c r="BB217" s="3"/>
    </row>
    <row r="218" spans="2:54" hidden="1">
      <c r="K218" s="80"/>
      <c r="AV218" s="3"/>
      <c r="AW218" s="3"/>
      <c r="AX218" s="3"/>
      <c r="AY218" s="3"/>
      <c r="AZ218" s="3"/>
      <c r="BA218" s="3"/>
      <c r="BB218" s="3"/>
    </row>
    <row r="219" spans="2:54" hidden="1">
      <c r="B219" s="5" t="s">
        <v>322</v>
      </c>
      <c r="F219" s="80"/>
      <c r="G219" s="80">
        <f>-G206</f>
        <v>-22000</v>
      </c>
      <c r="K219" s="80"/>
      <c r="L219" s="80"/>
      <c r="M219" s="80"/>
      <c r="N219" s="80"/>
      <c r="O219" s="80"/>
      <c r="AU219" s="9">
        <f>+AU175</f>
        <v>77170.669875917243</v>
      </c>
      <c r="AV219" s="9"/>
      <c r="AW219" s="9"/>
      <c r="AX219" s="9"/>
      <c r="AY219" s="9"/>
      <c r="AZ219" s="9"/>
      <c r="BA219" s="9"/>
      <c r="BB219" s="9"/>
    </row>
    <row r="220" spans="2:54" hidden="1">
      <c r="B220" s="5" t="s">
        <v>323</v>
      </c>
      <c r="G220" s="80"/>
      <c r="H220" s="9">
        <f>H178</f>
        <v>400</v>
      </c>
      <c r="I220" s="9">
        <f t="shared" ref="I220:AT220" si="489">I178</f>
        <v>400</v>
      </c>
      <c r="J220" s="9">
        <f t="shared" si="489"/>
        <v>400</v>
      </c>
      <c r="K220" s="9">
        <f t="shared" si="489"/>
        <v>400</v>
      </c>
      <c r="L220" s="9">
        <f t="shared" si="489"/>
        <v>400</v>
      </c>
      <c r="M220" s="9">
        <f t="shared" si="489"/>
        <v>400</v>
      </c>
      <c r="N220" s="9">
        <f t="shared" si="489"/>
        <v>400</v>
      </c>
      <c r="O220" s="9">
        <f t="shared" si="489"/>
        <v>400</v>
      </c>
      <c r="P220" s="9">
        <f t="shared" si="489"/>
        <v>400</v>
      </c>
      <c r="Q220" s="9">
        <f t="shared" si="489"/>
        <v>510</v>
      </c>
      <c r="R220" s="9">
        <f t="shared" si="489"/>
        <v>490</v>
      </c>
      <c r="S220" s="9">
        <f t="shared" si="489"/>
        <v>420</v>
      </c>
      <c r="T220" s="9">
        <f t="shared" si="489"/>
        <v>530</v>
      </c>
      <c r="U220" s="9">
        <f t="shared" si="489"/>
        <v>520</v>
      </c>
      <c r="V220" s="9">
        <f t="shared" si="489"/>
        <v>540</v>
      </c>
      <c r="W220" s="9">
        <f t="shared" si="489"/>
        <v>470</v>
      </c>
      <c r="X220" s="9">
        <f t="shared" si="489"/>
        <v>580</v>
      </c>
      <c r="Y220" s="9">
        <f t="shared" si="489"/>
        <v>580</v>
      </c>
      <c r="Z220" s="9">
        <f t="shared" si="489"/>
        <v>590</v>
      </c>
      <c r="AA220" s="9">
        <f t="shared" si="489"/>
        <v>520</v>
      </c>
      <c r="AB220" s="9">
        <f t="shared" si="489"/>
        <v>600</v>
      </c>
      <c r="AC220" s="9">
        <f t="shared" si="489"/>
        <v>570</v>
      </c>
      <c r="AD220" s="9">
        <f t="shared" si="489"/>
        <v>570</v>
      </c>
      <c r="AE220" s="9">
        <f t="shared" si="489"/>
        <v>510</v>
      </c>
      <c r="AF220" s="9">
        <f t="shared" si="489"/>
        <v>630</v>
      </c>
      <c r="AG220" s="9">
        <f t="shared" si="489"/>
        <v>620</v>
      </c>
      <c r="AH220" s="9">
        <f t="shared" si="489"/>
        <v>630</v>
      </c>
      <c r="AI220" s="9">
        <f t="shared" si="489"/>
        <v>550</v>
      </c>
      <c r="AJ220" s="9">
        <f t="shared" si="489"/>
        <v>680</v>
      </c>
      <c r="AK220" s="9">
        <f t="shared" si="489"/>
        <v>670</v>
      </c>
      <c r="AL220" s="9">
        <f t="shared" si="489"/>
        <v>850</v>
      </c>
      <c r="AM220" s="9">
        <f t="shared" si="489"/>
        <v>750</v>
      </c>
      <c r="AN220" s="9">
        <f t="shared" si="489"/>
        <v>930</v>
      </c>
      <c r="AO220" s="9">
        <f t="shared" si="489"/>
        <v>920</v>
      </c>
      <c r="AP220" s="9">
        <f t="shared" si="489"/>
        <v>940</v>
      </c>
      <c r="AQ220" s="9">
        <f t="shared" si="489"/>
        <v>820</v>
      </c>
      <c r="AR220" s="9">
        <f t="shared" si="489"/>
        <v>1020</v>
      </c>
      <c r="AS220" s="9">
        <f t="shared" si="489"/>
        <v>1020</v>
      </c>
      <c r="AT220" s="9">
        <f t="shared" si="489"/>
        <v>1030</v>
      </c>
      <c r="AU220" s="9">
        <f>AU178</f>
        <v>910</v>
      </c>
      <c r="AV220" s="9"/>
      <c r="AW220" s="9"/>
      <c r="AX220" s="9"/>
      <c r="AY220" s="9"/>
      <c r="AZ220" s="9"/>
      <c r="BA220" s="9"/>
      <c r="BB220" s="9"/>
    </row>
    <row r="221" spans="2:54" hidden="1">
      <c r="AV221" s="3"/>
      <c r="AW221" s="3"/>
      <c r="AX221" s="3"/>
      <c r="AY221" s="3"/>
      <c r="AZ221" s="3"/>
      <c r="BA221" s="3"/>
      <c r="BB221" s="3"/>
    </row>
    <row r="222" spans="2:54" s="53" customFormat="1" ht="15.6" hidden="1">
      <c r="B222" s="359" t="s">
        <v>324</v>
      </c>
      <c r="C222" s="359"/>
      <c r="D222" s="359"/>
      <c r="E222" s="359"/>
      <c r="F222" s="360"/>
      <c r="G222" s="360"/>
      <c r="H222" s="360">
        <f>H220/$G$219*-1*4</f>
        <v>7.2727272727272724E-2</v>
      </c>
      <c r="I222" s="360">
        <f t="shared" ref="I222:AT222" si="490">I220/$G$219*-1*4</f>
        <v>7.2727272727272724E-2</v>
      </c>
      <c r="J222" s="360">
        <f t="shared" si="490"/>
        <v>7.2727272727272724E-2</v>
      </c>
      <c r="K222" s="360">
        <f t="shared" si="490"/>
        <v>7.2727272727272724E-2</v>
      </c>
      <c r="L222" s="360">
        <f t="shared" si="490"/>
        <v>7.2727272727272724E-2</v>
      </c>
      <c r="M222" s="360">
        <f t="shared" si="490"/>
        <v>7.2727272727272724E-2</v>
      </c>
      <c r="N222" s="360">
        <f t="shared" si="490"/>
        <v>7.2727272727272724E-2</v>
      </c>
      <c r="O222" s="360">
        <f t="shared" si="490"/>
        <v>7.2727272727272724E-2</v>
      </c>
      <c r="P222" s="360">
        <f t="shared" si="490"/>
        <v>7.2727272727272724E-2</v>
      </c>
      <c r="Q222" s="360">
        <f t="shared" si="490"/>
        <v>9.2727272727272728E-2</v>
      </c>
      <c r="R222" s="360">
        <f t="shared" si="490"/>
        <v>8.9090909090909096E-2</v>
      </c>
      <c r="S222" s="360">
        <f t="shared" si="490"/>
        <v>7.636363636363637E-2</v>
      </c>
      <c r="T222" s="360">
        <f t="shared" si="490"/>
        <v>9.636363636363636E-2</v>
      </c>
      <c r="U222" s="360">
        <f t="shared" si="490"/>
        <v>9.4545454545454544E-2</v>
      </c>
      <c r="V222" s="360">
        <f t="shared" si="490"/>
        <v>9.8181818181818176E-2</v>
      </c>
      <c r="W222" s="360">
        <f t="shared" si="490"/>
        <v>8.545454545454545E-2</v>
      </c>
      <c r="X222" s="360">
        <f t="shared" si="490"/>
        <v>0.10545454545454545</v>
      </c>
      <c r="Y222" s="360">
        <f t="shared" si="490"/>
        <v>0.10545454545454545</v>
      </c>
      <c r="Z222" s="360">
        <f t="shared" si="490"/>
        <v>0.10727272727272727</v>
      </c>
      <c r="AA222" s="360">
        <f t="shared" si="490"/>
        <v>9.4545454545454544E-2</v>
      </c>
      <c r="AB222" s="360">
        <f t="shared" si="490"/>
        <v>0.10909090909090909</v>
      </c>
      <c r="AC222" s="360">
        <f t="shared" si="490"/>
        <v>0.10363636363636364</v>
      </c>
      <c r="AD222" s="360">
        <f t="shared" si="490"/>
        <v>0.10363636363636364</v>
      </c>
      <c r="AE222" s="360">
        <f t="shared" si="490"/>
        <v>9.2727272727272728E-2</v>
      </c>
      <c r="AF222" s="360">
        <f t="shared" si="490"/>
        <v>0.11454545454545455</v>
      </c>
      <c r="AG222" s="360">
        <f t="shared" si="490"/>
        <v>0.11272727272727273</v>
      </c>
      <c r="AH222" s="360">
        <f t="shared" si="490"/>
        <v>0.11454545454545455</v>
      </c>
      <c r="AI222" s="360">
        <f t="shared" si="490"/>
        <v>0.1</v>
      </c>
      <c r="AJ222" s="360">
        <f t="shared" si="490"/>
        <v>0.12363636363636364</v>
      </c>
      <c r="AK222" s="360">
        <f t="shared" si="490"/>
        <v>0.12181818181818181</v>
      </c>
      <c r="AL222" s="360">
        <f t="shared" si="490"/>
        <v>0.15454545454545454</v>
      </c>
      <c r="AM222" s="360">
        <f t="shared" si="490"/>
        <v>0.13636363636363635</v>
      </c>
      <c r="AN222" s="360">
        <f t="shared" si="490"/>
        <v>0.1690909090909091</v>
      </c>
      <c r="AO222" s="360">
        <f t="shared" si="490"/>
        <v>0.16727272727272727</v>
      </c>
      <c r="AP222" s="360">
        <f t="shared" si="490"/>
        <v>0.1709090909090909</v>
      </c>
      <c r="AQ222" s="360">
        <f t="shared" si="490"/>
        <v>0.14909090909090908</v>
      </c>
      <c r="AR222" s="360">
        <f t="shared" si="490"/>
        <v>0.18545454545454546</v>
      </c>
      <c r="AS222" s="360">
        <f t="shared" si="490"/>
        <v>0.18545454545454546</v>
      </c>
      <c r="AT222" s="360">
        <f t="shared" si="490"/>
        <v>0.18727272727272729</v>
      </c>
      <c r="AU222" s="360">
        <f>AU220/$G$219*-1*4</f>
        <v>0.16545454545454547</v>
      </c>
      <c r="AV222" s="360"/>
      <c r="AW222" s="360"/>
      <c r="AX222" s="360"/>
      <c r="AY222" s="360"/>
      <c r="AZ222" s="360"/>
      <c r="BA222" s="360"/>
      <c r="BB222" s="360"/>
    </row>
    <row r="223" spans="2:54" hidden="1">
      <c r="AV223" s="3"/>
      <c r="AW223" s="3"/>
      <c r="AX223" s="3"/>
      <c r="AY223" s="3"/>
      <c r="AZ223" s="3"/>
      <c r="BA223" s="3"/>
      <c r="BB223" s="3"/>
    </row>
    <row r="224" spans="2:54" ht="15.6" hidden="1">
      <c r="B224" s="49" t="s">
        <v>325</v>
      </c>
      <c r="C224" s="49"/>
      <c r="D224" s="49"/>
      <c r="E224" s="49"/>
      <c r="F224" s="361"/>
      <c r="G224" s="361">
        <f t="shared" ref="G224:N224" si="491">SUM(G219:G220)</f>
        <v>-22000</v>
      </c>
      <c r="H224" s="361">
        <f t="shared" si="491"/>
        <v>400</v>
      </c>
      <c r="I224" s="361">
        <f t="shared" si="491"/>
        <v>400</v>
      </c>
      <c r="J224" s="361">
        <f t="shared" si="491"/>
        <v>400</v>
      </c>
      <c r="K224" s="361">
        <f t="shared" si="491"/>
        <v>400</v>
      </c>
      <c r="L224" s="361">
        <f t="shared" si="491"/>
        <v>400</v>
      </c>
      <c r="M224" s="361">
        <f t="shared" si="491"/>
        <v>400</v>
      </c>
      <c r="N224" s="361">
        <f t="shared" si="491"/>
        <v>400</v>
      </c>
      <c r="O224" s="361">
        <f t="shared" ref="O224:AT224" si="492">SUM(O219:O220)</f>
        <v>400</v>
      </c>
      <c r="P224" s="361">
        <f t="shared" si="492"/>
        <v>400</v>
      </c>
      <c r="Q224" s="361">
        <f t="shared" si="492"/>
        <v>510</v>
      </c>
      <c r="R224" s="361">
        <f t="shared" si="492"/>
        <v>490</v>
      </c>
      <c r="S224" s="361">
        <f t="shared" si="492"/>
        <v>420</v>
      </c>
      <c r="T224" s="361">
        <f t="shared" si="492"/>
        <v>530</v>
      </c>
      <c r="U224" s="361">
        <f t="shared" si="492"/>
        <v>520</v>
      </c>
      <c r="V224" s="361">
        <f t="shared" si="492"/>
        <v>540</v>
      </c>
      <c r="W224" s="361">
        <f t="shared" si="492"/>
        <v>470</v>
      </c>
      <c r="X224" s="361">
        <f t="shared" si="492"/>
        <v>580</v>
      </c>
      <c r="Y224" s="361">
        <f t="shared" si="492"/>
        <v>580</v>
      </c>
      <c r="Z224" s="361">
        <f t="shared" si="492"/>
        <v>590</v>
      </c>
      <c r="AA224" s="361">
        <f t="shared" si="492"/>
        <v>520</v>
      </c>
      <c r="AB224" s="361">
        <f t="shared" si="492"/>
        <v>600</v>
      </c>
      <c r="AC224" s="361">
        <f t="shared" si="492"/>
        <v>570</v>
      </c>
      <c r="AD224" s="361">
        <f t="shared" si="492"/>
        <v>570</v>
      </c>
      <c r="AE224" s="361">
        <f t="shared" si="492"/>
        <v>510</v>
      </c>
      <c r="AF224" s="361">
        <f t="shared" si="492"/>
        <v>630</v>
      </c>
      <c r="AG224" s="361">
        <f t="shared" si="492"/>
        <v>620</v>
      </c>
      <c r="AH224" s="361">
        <f t="shared" si="492"/>
        <v>630</v>
      </c>
      <c r="AI224" s="361">
        <f t="shared" si="492"/>
        <v>550</v>
      </c>
      <c r="AJ224" s="361">
        <f t="shared" si="492"/>
        <v>680</v>
      </c>
      <c r="AK224" s="361">
        <f t="shared" si="492"/>
        <v>670</v>
      </c>
      <c r="AL224" s="361">
        <f t="shared" si="492"/>
        <v>850</v>
      </c>
      <c r="AM224" s="361">
        <f t="shared" si="492"/>
        <v>750</v>
      </c>
      <c r="AN224" s="361">
        <f t="shared" si="492"/>
        <v>930</v>
      </c>
      <c r="AO224" s="361">
        <f t="shared" si="492"/>
        <v>920</v>
      </c>
      <c r="AP224" s="361">
        <f t="shared" si="492"/>
        <v>940</v>
      </c>
      <c r="AQ224" s="361">
        <f t="shared" si="492"/>
        <v>820</v>
      </c>
      <c r="AR224" s="361">
        <f t="shared" si="492"/>
        <v>1020</v>
      </c>
      <c r="AS224" s="361">
        <f t="shared" si="492"/>
        <v>1020</v>
      </c>
      <c r="AT224" s="361">
        <f t="shared" si="492"/>
        <v>1030</v>
      </c>
      <c r="AU224" s="361">
        <f>SUM(AU219:AU220)</f>
        <v>78080.669875917243</v>
      </c>
      <c r="AV224" s="361"/>
      <c r="AW224" s="361"/>
      <c r="AX224" s="361"/>
      <c r="AY224" s="361"/>
      <c r="AZ224" s="361"/>
      <c r="BA224" s="361"/>
      <c r="BB224" s="361"/>
    </row>
    <row r="225" spans="2:54" hidden="1"/>
    <row r="226" spans="2:54" hidden="1"/>
    <row r="227" spans="2:54" hidden="1">
      <c r="B227" s="44"/>
    </row>
    <row r="228" spans="2:54" ht="15.6" hidden="1">
      <c r="B228" s="366" t="s">
        <v>328</v>
      </c>
      <c r="C228" s="367"/>
      <c r="D228" s="367"/>
      <c r="E228" s="367"/>
      <c r="F228" s="368"/>
      <c r="G228" s="368"/>
      <c r="H228" s="369">
        <v>45618</v>
      </c>
      <c r="I228" s="369">
        <f>I198</f>
        <v>45747</v>
      </c>
      <c r="J228" s="369">
        <f t="shared" ref="J228:AU228" si="493">J198</f>
        <v>45838</v>
      </c>
      <c r="K228" s="369">
        <f t="shared" si="493"/>
        <v>45930</v>
      </c>
      <c r="L228" s="369">
        <f t="shared" si="493"/>
        <v>46022</v>
      </c>
      <c r="M228" s="369">
        <f t="shared" si="493"/>
        <v>46112</v>
      </c>
      <c r="N228" s="369">
        <f t="shared" si="493"/>
        <v>46203</v>
      </c>
      <c r="O228" s="369">
        <f t="shared" si="493"/>
        <v>46295</v>
      </c>
      <c r="P228" s="369">
        <f t="shared" si="493"/>
        <v>46387</v>
      </c>
      <c r="Q228" s="369">
        <f t="shared" si="493"/>
        <v>46477</v>
      </c>
      <c r="R228" s="369">
        <f t="shared" si="493"/>
        <v>46568</v>
      </c>
      <c r="S228" s="369">
        <f t="shared" si="493"/>
        <v>46660</v>
      </c>
      <c r="T228" s="369">
        <f t="shared" si="493"/>
        <v>46752</v>
      </c>
      <c r="U228" s="369">
        <f t="shared" si="493"/>
        <v>46843</v>
      </c>
      <c r="V228" s="369">
        <f t="shared" si="493"/>
        <v>46934</v>
      </c>
      <c r="W228" s="369">
        <f t="shared" si="493"/>
        <v>47026</v>
      </c>
      <c r="X228" s="369">
        <f t="shared" si="493"/>
        <v>47118</v>
      </c>
      <c r="Y228" s="369">
        <f t="shared" si="493"/>
        <v>47208</v>
      </c>
      <c r="Z228" s="369">
        <f t="shared" si="493"/>
        <v>47299</v>
      </c>
      <c r="AA228" s="369">
        <f t="shared" si="493"/>
        <v>47391</v>
      </c>
      <c r="AB228" s="369">
        <f t="shared" si="493"/>
        <v>47483</v>
      </c>
      <c r="AC228" s="369">
        <f t="shared" si="493"/>
        <v>47573</v>
      </c>
      <c r="AD228" s="369">
        <f t="shared" si="493"/>
        <v>47664</v>
      </c>
      <c r="AE228" s="369">
        <f t="shared" si="493"/>
        <v>47756</v>
      </c>
      <c r="AF228" s="369">
        <f t="shared" si="493"/>
        <v>47848</v>
      </c>
      <c r="AG228" s="369">
        <f t="shared" si="493"/>
        <v>47938</v>
      </c>
      <c r="AH228" s="369">
        <f t="shared" si="493"/>
        <v>48029</v>
      </c>
      <c r="AI228" s="369">
        <f t="shared" si="493"/>
        <v>48121</v>
      </c>
      <c r="AJ228" s="369">
        <f t="shared" si="493"/>
        <v>48213</v>
      </c>
      <c r="AK228" s="369">
        <f t="shared" si="493"/>
        <v>48304</v>
      </c>
      <c r="AL228" s="369">
        <f t="shared" si="493"/>
        <v>48395</v>
      </c>
      <c r="AM228" s="369">
        <f t="shared" si="493"/>
        <v>48487</v>
      </c>
      <c r="AN228" s="369">
        <f t="shared" si="493"/>
        <v>48579</v>
      </c>
      <c r="AO228" s="369">
        <f t="shared" si="493"/>
        <v>48669</v>
      </c>
      <c r="AP228" s="369">
        <f t="shared" si="493"/>
        <v>48760</v>
      </c>
      <c r="AQ228" s="369">
        <f t="shared" si="493"/>
        <v>48852</v>
      </c>
      <c r="AR228" s="369">
        <f t="shared" si="493"/>
        <v>48944</v>
      </c>
      <c r="AS228" s="369">
        <f t="shared" si="493"/>
        <v>49034</v>
      </c>
      <c r="AT228" s="369">
        <f t="shared" si="493"/>
        <v>49125</v>
      </c>
      <c r="AU228" s="369">
        <f t="shared" si="493"/>
        <v>49217</v>
      </c>
      <c r="AV228" s="369">
        <f>AV198</f>
        <v>49309</v>
      </c>
      <c r="AW228" s="369"/>
      <c r="AX228" s="369"/>
      <c r="AY228" s="369"/>
      <c r="AZ228" s="369"/>
      <c r="BA228" s="369"/>
      <c r="BB228" s="369"/>
    </row>
    <row r="229" spans="2:54" hidden="1"/>
    <row r="230" spans="2:54" ht="15.6" hidden="1">
      <c r="B230" s="365" t="s">
        <v>320</v>
      </c>
      <c r="C230" s="370">
        <f>XIRR(H239:AV239,H228:AV228)</f>
        <v>0.19638724923133852</v>
      </c>
      <c r="AV230" s="3"/>
      <c r="AW230" s="3"/>
      <c r="AX230" s="3"/>
      <c r="AY230" s="3"/>
      <c r="AZ230" s="3"/>
      <c r="BA230" s="3"/>
      <c r="BB230" s="3"/>
    </row>
    <row r="231" spans="2:54" ht="15.6" hidden="1">
      <c r="B231" s="365" t="s">
        <v>321</v>
      </c>
      <c r="C231" s="371">
        <f>AVERAGE(H237:AV237)</f>
        <v>0.1089713679745493</v>
      </c>
      <c r="AV231" s="3"/>
      <c r="AW231" s="3"/>
      <c r="AX231" s="3"/>
      <c r="AY231" s="3"/>
      <c r="AZ231" s="3"/>
      <c r="BA231" s="3"/>
      <c r="BB231" s="3"/>
    </row>
    <row r="232" spans="2:54" hidden="1">
      <c r="AV232" s="3"/>
      <c r="AW232" s="3"/>
      <c r="AX232" s="3"/>
      <c r="AY232" s="3"/>
      <c r="AZ232" s="3"/>
      <c r="BA232" s="3"/>
      <c r="BB232" s="3"/>
    </row>
    <row r="233" spans="2:54" hidden="1">
      <c r="K233" s="80"/>
      <c r="AV233" s="3"/>
      <c r="AW233" s="3"/>
      <c r="AX233" s="3"/>
      <c r="AY233" s="3"/>
      <c r="AZ233" s="3"/>
      <c r="BA233" s="3"/>
      <c r="BB233" s="3"/>
    </row>
    <row r="234" spans="2:54" hidden="1">
      <c r="B234" s="5" t="s">
        <v>322</v>
      </c>
      <c r="F234" s="80"/>
      <c r="G234" s="80"/>
      <c r="H234" s="190">
        <f>-H175</f>
        <v>-23000</v>
      </c>
      <c r="K234" s="80"/>
      <c r="L234" s="80"/>
      <c r="M234" s="80"/>
      <c r="N234" s="80"/>
      <c r="O234" s="80"/>
      <c r="AU234" s="9"/>
      <c r="AV234" s="9">
        <f>+AV175</f>
        <v>79202.743696347316</v>
      </c>
      <c r="AW234" s="9"/>
      <c r="AX234" s="9"/>
      <c r="AY234" s="9"/>
      <c r="AZ234" s="9"/>
      <c r="BA234" s="9"/>
      <c r="BB234" s="9"/>
    </row>
    <row r="235" spans="2:54" hidden="1">
      <c r="B235" s="5" t="s">
        <v>323</v>
      </c>
      <c r="G235" s="80"/>
      <c r="H235" s="9">
        <f>H178</f>
        <v>400</v>
      </c>
      <c r="I235" s="9">
        <f t="shared" ref="I235:AT235" si="494">I178</f>
        <v>400</v>
      </c>
      <c r="J235" s="9">
        <f t="shared" si="494"/>
        <v>400</v>
      </c>
      <c r="K235" s="9">
        <f t="shared" si="494"/>
        <v>400</v>
      </c>
      <c r="L235" s="9">
        <f t="shared" si="494"/>
        <v>400</v>
      </c>
      <c r="M235" s="9">
        <f t="shared" si="494"/>
        <v>400</v>
      </c>
      <c r="N235" s="9">
        <f t="shared" si="494"/>
        <v>400</v>
      </c>
      <c r="O235" s="9">
        <f t="shared" si="494"/>
        <v>400</v>
      </c>
      <c r="P235" s="9">
        <f t="shared" si="494"/>
        <v>400</v>
      </c>
      <c r="Q235" s="9">
        <f t="shared" si="494"/>
        <v>510</v>
      </c>
      <c r="R235" s="9">
        <f t="shared" si="494"/>
        <v>490</v>
      </c>
      <c r="S235" s="9">
        <f t="shared" si="494"/>
        <v>420</v>
      </c>
      <c r="T235" s="9">
        <f t="shared" si="494"/>
        <v>530</v>
      </c>
      <c r="U235" s="9">
        <f t="shared" si="494"/>
        <v>520</v>
      </c>
      <c r="V235" s="9">
        <f t="shared" si="494"/>
        <v>540</v>
      </c>
      <c r="W235" s="9">
        <f t="shared" si="494"/>
        <v>470</v>
      </c>
      <c r="X235" s="9">
        <f t="shared" si="494"/>
        <v>580</v>
      </c>
      <c r="Y235" s="9">
        <f t="shared" si="494"/>
        <v>580</v>
      </c>
      <c r="Z235" s="9">
        <f t="shared" si="494"/>
        <v>590</v>
      </c>
      <c r="AA235" s="9">
        <f t="shared" si="494"/>
        <v>520</v>
      </c>
      <c r="AB235" s="9">
        <f t="shared" si="494"/>
        <v>600</v>
      </c>
      <c r="AC235" s="9">
        <f t="shared" si="494"/>
        <v>570</v>
      </c>
      <c r="AD235" s="9">
        <f t="shared" si="494"/>
        <v>570</v>
      </c>
      <c r="AE235" s="9">
        <f t="shared" si="494"/>
        <v>510</v>
      </c>
      <c r="AF235" s="9">
        <f t="shared" si="494"/>
        <v>630</v>
      </c>
      <c r="AG235" s="9">
        <f t="shared" si="494"/>
        <v>620</v>
      </c>
      <c r="AH235" s="9">
        <f t="shared" si="494"/>
        <v>630</v>
      </c>
      <c r="AI235" s="9">
        <f t="shared" si="494"/>
        <v>550</v>
      </c>
      <c r="AJ235" s="9">
        <f t="shared" si="494"/>
        <v>680</v>
      </c>
      <c r="AK235" s="9">
        <f t="shared" si="494"/>
        <v>670</v>
      </c>
      <c r="AL235" s="9">
        <f t="shared" si="494"/>
        <v>850</v>
      </c>
      <c r="AM235" s="9">
        <f t="shared" si="494"/>
        <v>750</v>
      </c>
      <c r="AN235" s="9">
        <f t="shared" si="494"/>
        <v>930</v>
      </c>
      <c r="AO235" s="9">
        <f t="shared" si="494"/>
        <v>920</v>
      </c>
      <c r="AP235" s="9">
        <f t="shared" si="494"/>
        <v>940</v>
      </c>
      <c r="AQ235" s="9">
        <f t="shared" si="494"/>
        <v>820</v>
      </c>
      <c r="AR235" s="9">
        <f t="shared" si="494"/>
        <v>1020</v>
      </c>
      <c r="AS235" s="9">
        <f t="shared" si="494"/>
        <v>1020</v>
      </c>
      <c r="AT235" s="9">
        <f t="shared" si="494"/>
        <v>1030</v>
      </c>
      <c r="AU235" s="9">
        <f>AU178</f>
        <v>910</v>
      </c>
      <c r="AV235" s="9">
        <f>AV178</f>
        <v>1120</v>
      </c>
      <c r="AW235" s="9"/>
      <c r="AX235" s="9"/>
      <c r="AY235" s="9"/>
      <c r="AZ235" s="9"/>
      <c r="BA235" s="9"/>
      <c r="BB235" s="9"/>
    </row>
    <row r="236" spans="2:54" hidden="1">
      <c r="AV236" s="3"/>
      <c r="AW236" s="3"/>
      <c r="AX236" s="3"/>
      <c r="AY236" s="3"/>
      <c r="AZ236" s="3"/>
      <c r="BA236" s="3"/>
      <c r="BB236" s="3"/>
    </row>
    <row r="237" spans="2:54" s="53" customFormat="1" ht="15.6" hidden="1">
      <c r="B237" s="359" t="s">
        <v>324</v>
      </c>
      <c r="C237" s="359"/>
      <c r="D237" s="359"/>
      <c r="E237" s="359"/>
      <c r="F237" s="360"/>
      <c r="G237" s="360"/>
      <c r="H237" s="360">
        <f>H235/$H$234*-1*4</f>
        <v>6.9565217391304349E-2</v>
      </c>
      <c r="I237" s="360">
        <f>I235/$H$234*-1*4</f>
        <v>6.9565217391304349E-2</v>
      </c>
      <c r="J237" s="360">
        <f t="shared" ref="J237:AV237" si="495">J235/$H$234*-1*4</f>
        <v>6.9565217391304349E-2</v>
      </c>
      <c r="K237" s="360">
        <f t="shared" si="495"/>
        <v>6.9565217391304349E-2</v>
      </c>
      <c r="L237" s="360">
        <f t="shared" si="495"/>
        <v>6.9565217391304349E-2</v>
      </c>
      <c r="M237" s="360">
        <f t="shared" si="495"/>
        <v>6.9565217391304349E-2</v>
      </c>
      <c r="N237" s="360">
        <f t="shared" si="495"/>
        <v>6.9565217391304349E-2</v>
      </c>
      <c r="O237" s="360">
        <f t="shared" si="495"/>
        <v>6.9565217391304349E-2</v>
      </c>
      <c r="P237" s="360">
        <f t="shared" si="495"/>
        <v>6.9565217391304349E-2</v>
      </c>
      <c r="Q237" s="360">
        <f t="shared" si="495"/>
        <v>8.8695652173913037E-2</v>
      </c>
      <c r="R237" s="360">
        <f t="shared" si="495"/>
        <v>8.5217391304347828E-2</v>
      </c>
      <c r="S237" s="360">
        <f t="shared" si="495"/>
        <v>7.3043478260869571E-2</v>
      </c>
      <c r="T237" s="360">
        <f t="shared" si="495"/>
        <v>9.2173913043478259E-2</v>
      </c>
      <c r="U237" s="360">
        <f t="shared" si="495"/>
        <v>9.0434782608695655E-2</v>
      </c>
      <c r="V237" s="360">
        <f t="shared" si="495"/>
        <v>9.3913043478260863E-2</v>
      </c>
      <c r="W237" s="360">
        <f t="shared" si="495"/>
        <v>8.1739130434782606E-2</v>
      </c>
      <c r="X237" s="360">
        <f t="shared" si="495"/>
        <v>0.10086956521739131</v>
      </c>
      <c r="Y237" s="360">
        <f t="shared" si="495"/>
        <v>0.10086956521739131</v>
      </c>
      <c r="Z237" s="360">
        <f t="shared" si="495"/>
        <v>0.10260869565217391</v>
      </c>
      <c r="AA237" s="360">
        <f t="shared" si="495"/>
        <v>9.0434782608695655E-2</v>
      </c>
      <c r="AB237" s="360">
        <f t="shared" si="495"/>
        <v>0.10434782608695652</v>
      </c>
      <c r="AC237" s="360">
        <f t="shared" si="495"/>
        <v>9.913043478260869E-2</v>
      </c>
      <c r="AD237" s="360">
        <f t="shared" si="495"/>
        <v>9.913043478260869E-2</v>
      </c>
      <c r="AE237" s="360">
        <f t="shared" si="495"/>
        <v>8.8695652173913037E-2</v>
      </c>
      <c r="AF237" s="360">
        <f t="shared" si="495"/>
        <v>0.10956521739130434</v>
      </c>
      <c r="AG237" s="360">
        <f t="shared" si="495"/>
        <v>0.10782608695652174</v>
      </c>
      <c r="AH237" s="360">
        <f t="shared" si="495"/>
        <v>0.10956521739130434</v>
      </c>
      <c r="AI237" s="360">
        <f t="shared" si="495"/>
        <v>9.5652173913043481E-2</v>
      </c>
      <c r="AJ237" s="360">
        <f t="shared" si="495"/>
        <v>0.11826086956521739</v>
      </c>
      <c r="AK237" s="360">
        <f t="shared" si="495"/>
        <v>0.11652173913043479</v>
      </c>
      <c r="AL237" s="360">
        <f t="shared" si="495"/>
        <v>0.14782608695652175</v>
      </c>
      <c r="AM237" s="360">
        <f t="shared" si="495"/>
        <v>0.13043478260869565</v>
      </c>
      <c r="AN237" s="360">
        <f t="shared" si="495"/>
        <v>0.16173913043478261</v>
      </c>
      <c r="AO237" s="360">
        <f t="shared" si="495"/>
        <v>0.16</v>
      </c>
      <c r="AP237" s="360">
        <f t="shared" si="495"/>
        <v>0.16347826086956521</v>
      </c>
      <c r="AQ237" s="360">
        <f t="shared" si="495"/>
        <v>0.14260869565217391</v>
      </c>
      <c r="AR237" s="360">
        <f t="shared" si="495"/>
        <v>0.17739130434782607</v>
      </c>
      <c r="AS237" s="360">
        <f t="shared" si="495"/>
        <v>0.17739130434782607</v>
      </c>
      <c r="AT237" s="360">
        <f t="shared" si="495"/>
        <v>0.17913043478260871</v>
      </c>
      <c r="AU237" s="360">
        <f t="shared" si="495"/>
        <v>0.1582608695652174</v>
      </c>
      <c r="AV237" s="360">
        <f t="shared" si="495"/>
        <v>0.19478260869565217</v>
      </c>
      <c r="AW237" s="360"/>
      <c r="AX237" s="360"/>
      <c r="AY237" s="360"/>
      <c r="AZ237" s="360"/>
      <c r="BA237" s="360"/>
      <c r="BB237" s="360"/>
    </row>
    <row r="238" spans="2:54" hidden="1">
      <c r="AV238" s="3"/>
      <c r="AW238" s="3"/>
      <c r="AX238" s="3"/>
      <c r="AY238" s="3"/>
      <c r="AZ238" s="3"/>
      <c r="BA238" s="3"/>
      <c r="BB238" s="3"/>
    </row>
    <row r="239" spans="2:54" ht="15.6" hidden="1">
      <c r="B239" s="49" t="s">
        <v>325</v>
      </c>
      <c r="C239" s="49"/>
      <c r="D239" s="49"/>
      <c r="E239" s="49"/>
      <c r="F239" s="361"/>
      <c r="G239" s="361"/>
      <c r="H239" s="361">
        <f t="shared" ref="H239:AT239" si="496">SUM(H234:H235)</f>
        <v>-22600</v>
      </c>
      <c r="I239" s="361">
        <f t="shared" si="496"/>
        <v>400</v>
      </c>
      <c r="J239" s="361">
        <f t="shared" si="496"/>
        <v>400</v>
      </c>
      <c r="K239" s="361">
        <f t="shared" si="496"/>
        <v>400</v>
      </c>
      <c r="L239" s="361">
        <f t="shared" si="496"/>
        <v>400</v>
      </c>
      <c r="M239" s="361">
        <f t="shared" si="496"/>
        <v>400</v>
      </c>
      <c r="N239" s="361">
        <f t="shared" si="496"/>
        <v>400</v>
      </c>
      <c r="O239" s="361">
        <f t="shared" si="496"/>
        <v>400</v>
      </c>
      <c r="P239" s="361">
        <f t="shared" si="496"/>
        <v>400</v>
      </c>
      <c r="Q239" s="361">
        <f t="shared" si="496"/>
        <v>510</v>
      </c>
      <c r="R239" s="361">
        <f t="shared" si="496"/>
        <v>490</v>
      </c>
      <c r="S239" s="361">
        <f t="shared" si="496"/>
        <v>420</v>
      </c>
      <c r="T239" s="361">
        <f t="shared" si="496"/>
        <v>530</v>
      </c>
      <c r="U239" s="361">
        <f t="shared" si="496"/>
        <v>520</v>
      </c>
      <c r="V239" s="361">
        <f t="shared" si="496"/>
        <v>540</v>
      </c>
      <c r="W239" s="361">
        <f t="shared" si="496"/>
        <v>470</v>
      </c>
      <c r="X239" s="361">
        <f t="shared" si="496"/>
        <v>580</v>
      </c>
      <c r="Y239" s="361">
        <f t="shared" si="496"/>
        <v>580</v>
      </c>
      <c r="Z239" s="361">
        <f t="shared" si="496"/>
        <v>590</v>
      </c>
      <c r="AA239" s="361">
        <f t="shared" si="496"/>
        <v>520</v>
      </c>
      <c r="AB239" s="361">
        <f t="shared" si="496"/>
        <v>600</v>
      </c>
      <c r="AC239" s="361">
        <f t="shared" si="496"/>
        <v>570</v>
      </c>
      <c r="AD239" s="361">
        <f t="shared" si="496"/>
        <v>570</v>
      </c>
      <c r="AE239" s="361">
        <f t="shared" si="496"/>
        <v>510</v>
      </c>
      <c r="AF239" s="361">
        <f t="shared" si="496"/>
        <v>630</v>
      </c>
      <c r="AG239" s="361">
        <f t="shared" si="496"/>
        <v>620</v>
      </c>
      <c r="AH239" s="361">
        <f t="shared" si="496"/>
        <v>630</v>
      </c>
      <c r="AI239" s="361">
        <f t="shared" si="496"/>
        <v>550</v>
      </c>
      <c r="AJ239" s="361">
        <f t="shared" si="496"/>
        <v>680</v>
      </c>
      <c r="AK239" s="361">
        <f t="shared" si="496"/>
        <v>670</v>
      </c>
      <c r="AL239" s="361">
        <f t="shared" si="496"/>
        <v>850</v>
      </c>
      <c r="AM239" s="361">
        <f t="shared" si="496"/>
        <v>750</v>
      </c>
      <c r="AN239" s="361">
        <f t="shared" si="496"/>
        <v>930</v>
      </c>
      <c r="AO239" s="361">
        <f t="shared" si="496"/>
        <v>920</v>
      </c>
      <c r="AP239" s="361">
        <f t="shared" si="496"/>
        <v>940</v>
      </c>
      <c r="AQ239" s="361">
        <f t="shared" si="496"/>
        <v>820</v>
      </c>
      <c r="AR239" s="361">
        <f t="shared" si="496"/>
        <v>1020</v>
      </c>
      <c r="AS239" s="361">
        <f t="shared" si="496"/>
        <v>1020</v>
      </c>
      <c r="AT239" s="361">
        <f t="shared" si="496"/>
        <v>1030</v>
      </c>
      <c r="AU239" s="361">
        <f>SUM(AU234:AU235)</f>
        <v>910</v>
      </c>
      <c r="AV239" s="361">
        <f>SUM(AV234:AV235)</f>
        <v>80322.743696347316</v>
      </c>
      <c r="AW239" s="361"/>
      <c r="AX239" s="361"/>
      <c r="AY239" s="361"/>
      <c r="AZ239" s="361"/>
      <c r="BA239" s="361"/>
      <c r="BB239" s="361"/>
    </row>
    <row r="240" spans="2:54" hidden="1"/>
    <row r="241" spans="7:50" hidden="1"/>
    <row r="242" spans="7:50" hidden="1"/>
    <row r="243" spans="7:50" hidden="1"/>
    <row r="244" spans="7:50" hidden="1"/>
    <row r="249" spans="7:50" ht="15.6">
      <c r="G249" s="377"/>
    </row>
    <row r="251" spans="7:50">
      <c r="AR251" s="105"/>
      <c r="AS251" s="105"/>
      <c r="AT251" s="105"/>
      <c r="AU251" s="105"/>
      <c r="AV251" s="105"/>
      <c r="AW251" s="105"/>
      <c r="AX251" s="105"/>
    </row>
    <row r="254" spans="7:50" ht="15.6">
      <c r="G254" s="377"/>
    </row>
  </sheetData>
  <sheetProtection algorithmName="SHA-512" hashValue="4qCAK6hIH72YAIn8sh2jpARRK5cKN+s2mjCoo6Ay1yDCQBY3XHhqDI43NL0CUPzmKreRSn8luDN14iikTHnIcA==" saltValue="VWyCejU48WPpWSYmwvbufw==" spinCount="100000" sheet="1" objects="1" scenarios="1" selectLockedCells="1" selectUnlockedCells="1"/>
  <mergeCells count="2">
    <mergeCell ref="E71:K71"/>
    <mergeCell ref="E60:H60"/>
  </mergeCells>
  <phoneticPr fontId="5" type="noConversion"/>
  <dataValidations count="1">
    <dataValidation type="list" allowBlank="1" showInputMessage="1" showErrorMessage="1" sqref="C1" xr:uid="{8D71C5EA-FB0D-4884-A89F-A3441211C4C6}">
      <formula1>"1,2,3"</formula1>
    </dataValidation>
  </dataValidations>
  <pageMargins left="0.7" right="0.7" top="0.75" bottom="0.75" header="0.3" footer="0.3"/>
  <pageSetup paperSize="9" orientation="portrait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A549D-C9D6-42AD-8C9D-54DAEF991D58}">
  <sheetPr>
    <tabColor theme="1"/>
    <pageSetUpPr fitToPage="1"/>
  </sheetPr>
  <dimension ref="A1:R56"/>
  <sheetViews>
    <sheetView zoomScale="85" zoomScaleNormal="85" workbookViewId="0">
      <pane ySplit="1" topLeftCell="A2" activePane="bottomLeft" state="frozen"/>
      <selection activeCell="K13" sqref="K13"/>
      <selection pane="bottomLeft" activeCell="K13" sqref="K13"/>
    </sheetView>
  </sheetViews>
  <sheetFormatPr defaultColWidth="8.88671875" defaultRowHeight="14.4"/>
  <cols>
    <col min="1" max="1" width="4" style="131" customWidth="1"/>
    <col min="2" max="2" width="38.44140625" style="151" customWidth="1"/>
    <col min="3" max="3" width="11.88671875" style="151" customWidth="1"/>
    <col min="4" max="4" width="12.77734375" style="151" customWidth="1"/>
    <col min="5" max="6" width="11.44140625" style="151" customWidth="1"/>
    <col min="7" max="7" width="11.33203125" style="151" bestFit="1" customWidth="1"/>
    <col min="8" max="8" width="13.33203125" style="151" customWidth="1"/>
    <col min="9" max="9" width="13.44140625" style="151" customWidth="1"/>
    <col min="10" max="10" width="11.33203125" style="151" customWidth="1"/>
    <col min="11" max="11" width="12.109375" style="151" customWidth="1"/>
    <col min="12" max="12" width="10.88671875" style="151" customWidth="1"/>
    <col min="13" max="13" width="11.44140625" style="151" customWidth="1"/>
    <col min="14" max="14" width="11.77734375" style="151" customWidth="1"/>
    <col min="15" max="15" width="9.44140625" style="131" bestFit="1" customWidth="1"/>
    <col min="16" max="16" width="10.44140625" style="131" bestFit="1" customWidth="1"/>
    <col min="17" max="17" width="10.21875" style="131" bestFit="1" customWidth="1"/>
    <col min="18" max="16384" width="8.88671875" style="131"/>
  </cols>
  <sheetData>
    <row r="1" spans="1:18">
      <c r="A1" s="131" t="s">
        <v>183</v>
      </c>
      <c r="B1" s="132"/>
      <c r="C1" s="132" t="s">
        <v>184</v>
      </c>
      <c r="D1" s="132" t="s">
        <v>172</v>
      </c>
      <c r="E1" s="132" t="s">
        <v>174</v>
      </c>
      <c r="F1" s="132" t="s">
        <v>173</v>
      </c>
      <c r="G1" s="132" t="s">
        <v>175</v>
      </c>
      <c r="H1" s="132" t="s">
        <v>185</v>
      </c>
      <c r="I1" s="132" t="s">
        <v>186</v>
      </c>
      <c r="J1" s="132" t="s">
        <v>187</v>
      </c>
      <c r="K1" s="132" t="s">
        <v>188</v>
      </c>
      <c r="L1" s="132" t="s">
        <v>189</v>
      </c>
      <c r="M1" s="132" t="s">
        <v>171</v>
      </c>
      <c r="N1" s="132" t="s">
        <v>190</v>
      </c>
    </row>
    <row r="2" spans="1:18" s="133" customFormat="1">
      <c r="B2" s="134" t="s">
        <v>191</v>
      </c>
      <c r="C2" s="135"/>
      <c r="E2" s="135"/>
      <c r="F2" s="135"/>
      <c r="G2" s="135"/>
      <c r="H2" s="135"/>
      <c r="I2" s="135"/>
      <c r="J2" s="135">
        <v>6470967.7400000002</v>
      </c>
      <c r="K2" s="135">
        <v>3400000</v>
      </c>
      <c r="L2" s="135"/>
      <c r="M2" s="135"/>
      <c r="N2" s="135"/>
    </row>
    <row r="3" spans="1:18" s="133" customFormat="1">
      <c r="B3" s="136" t="s">
        <v>192</v>
      </c>
      <c r="C3" s="137"/>
      <c r="D3" s="135"/>
      <c r="E3" s="138"/>
      <c r="F3" s="137"/>
      <c r="G3" s="137"/>
      <c r="H3" s="137"/>
      <c r="I3" s="137"/>
      <c r="J3" s="137"/>
      <c r="K3" s="137">
        <v>-283056.45</v>
      </c>
      <c r="L3" s="137"/>
      <c r="M3" s="137"/>
      <c r="N3" s="137"/>
      <c r="P3" s="133">
        <v>120</v>
      </c>
      <c r="Q3" s="133">
        <f>P3</f>
        <v>120</v>
      </c>
      <c r="R3" s="133">
        <f>Q3</f>
        <v>120</v>
      </c>
    </row>
    <row r="4" spans="1:18" s="133" customFormat="1">
      <c r="B4" s="136" t="s">
        <v>193</v>
      </c>
      <c r="C4" s="137"/>
      <c r="D4" s="137"/>
      <c r="E4" s="137"/>
      <c r="F4" s="137"/>
      <c r="G4" s="137"/>
      <c r="H4" s="137"/>
      <c r="I4" s="137"/>
      <c r="J4" s="137"/>
      <c r="K4" s="137">
        <v>-1183811.52</v>
      </c>
      <c r="L4" s="137"/>
      <c r="M4" s="137"/>
      <c r="N4" s="137"/>
      <c r="P4" s="133">
        <f>260.7</f>
        <v>260.7</v>
      </c>
      <c r="R4" s="133">
        <v>130.35</v>
      </c>
    </row>
    <row r="5" spans="1:18" s="133" customFormat="1">
      <c r="B5" s="136" t="s">
        <v>194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6" spans="1:18" s="133" customFormat="1">
      <c r="B6" s="136" t="s">
        <v>111</v>
      </c>
      <c r="C6" s="135"/>
      <c r="D6" s="137"/>
      <c r="E6" s="135"/>
      <c r="F6" s="135"/>
      <c r="G6" s="135"/>
      <c r="H6" s="135"/>
      <c r="I6" s="135"/>
      <c r="J6" s="135"/>
      <c r="K6" s="135"/>
      <c r="L6" s="135"/>
      <c r="M6" s="135"/>
      <c r="N6" s="135"/>
    </row>
    <row r="7" spans="1:18" s="133" customFormat="1" ht="15" thickBot="1">
      <c r="B7" s="136" t="s">
        <v>96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</row>
    <row r="8" spans="1:18" s="133" customFormat="1" ht="15" thickBot="1">
      <c r="B8" s="139" t="s">
        <v>195</v>
      </c>
      <c r="C8" s="140"/>
      <c r="D8" s="140"/>
      <c r="E8" s="140"/>
      <c r="F8" s="140"/>
      <c r="G8" s="140">
        <f t="shared" ref="G8:N8" si="0">SUM(G3:G7)</f>
        <v>0</v>
      </c>
      <c r="H8" s="140">
        <f t="shared" si="0"/>
        <v>0</v>
      </c>
      <c r="I8" s="140">
        <f t="shared" si="0"/>
        <v>0</v>
      </c>
      <c r="J8" s="140">
        <f>SUM(J2:J7)</f>
        <v>6470967.7400000002</v>
      </c>
      <c r="K8" s="140">
        <f>SUM(K2:K7)</f>
        <v>1933132.0299999998</v>
      </c>
      <c r="L8" s="140">
        <f t="shared" si="0"/>
        <v>0</v>
      </c>
      <c r="M8" s="140">
        <f t="shared" si="0"/>
        <v>0</v>
      </c>
      <c r="N8" s="140">
        <f t="shared" si="0"/>
        <v>0</v>
      </c>
    </row>
    <row r="9" spans="1:18" s="133" customFormat="1" ht="15" thickBot="1">
      <c r="B9" s="136" t="s">
        <v>196</v>
      </c>
      <c r="C9" s="135"/>
      <c r="D9" s="141"/>
      <c r="E9" s="135"/>
      <c r="F9" s="135"/>
      <c r="G9" s="135"/>
      <c r="H9" s="135">
        <f>-2080000-5920000</f>
        <v>-8000000</v>
      </c>
      <c r="I9" s="135">
        <f>-1853726.78-1568000</f>
        <v>-3421726.7800000003</v>
      </c>
      <c r="J9" s="135">
        <v>-3877322.4</v>
      </c>
      <c r="K9" s="135">
        <v>-3949726.77</v>
      </c>
      <c r="L9" s="135"/>
      <c r="M9" s="135"/>
      <c r="N9" s="135"/>
    </row>
    <row r="10" spans="1:18" s="133" customFormat="1">
      <c r="B10" s="142" t="s">
        <v>197</v>
      </c>
      <c r="C10" s="143"/>
      <c r="D10" s="135"/>
      <c r="E10" s="143"/>
      <c r="F10" s="143"/>
      <c r="G10" s="143">
        <v>-110000</v>
      </c>
      <c r="H10" s="143">
        <f>-6229166.67+5920000</f>
        <v>-309166.66999999993</v>
      </c>
      <c r="I10" s="143">
        <f>-3287392.89+1568000</f>
        <v>-1719392.8900000001</v>
      </c>
      <c r="J10" s="143">
        <v>-7715000</v>
      </c>
      <c r="K10" s="143">
        <v>-446972</v>
      </c>
      <c r="L10" s="143"/>
      <c r="M10" s="143"/>
      <c r="N10" s="143"/>
    </row>
    <row r="11" spans="1:18" s="133" customFormat="1" ht="28.8">
      <c r="B11" s="142" t="s">
        <v>198</v>
      </c>
      <c r="C11" s="143"/>
      <c r="D11" s="143"/>
      <c r="E11" s="143"/>
      <c r="F11" s="143"/>
      <c r="G11" s="143"/>
      <c r="H11" s="143">
        <v>-4542000</v>
      </c>
      <c r="I11" s="143"/>
      <c r="J11" s="143">
        <v>-2586838.06</v>
      </c>
      <c r="K11" s="143">
        <v>-85050</v>
      </c>
      <c r="L11" s="143"/>
      <c r="M11" s="143"/>
      <c r="N11" s="143"/>
      <c r="O11" s="224"/>
      <c r="P11" s="224"/>
      <c r="Q11" s="306"/>
    </row>
    <row r="12" spans="1:18" s="133" customFormat="1">
      <c r="B12" s="142" t="s">
        <v>199</v>
      </c>
      <c r="C12" s="143"/>
      <c r="D12" s="143"/>
      <c r="E12" s="143"/>
      <c r="F12" s="143"/>
      <c r="G12" s="143"/>
      <c r="H12" s="143">
        <v>-13430.77</v>
      </c>
      <c r="I12" s="143">
        <v>-30000</v>
      </c>
      <c r="J12" s="143"/>
      <c r="K12" s="143"/>
      <c r="L12" s="143"/>
      <c r="M12" s="143"/>
      <c r="N12" s="143"/>
    </row>
    <row r="13" spans="1:18" s="133" customFormat="1">
      <c r="B13" s="142" t="s">
        <v>200</v>
      </c>
      <c r="C13" s="143"/>
      <c r="D13" s="143"/>
      <c r="E13" s="143"/>
      <c r="F13" s="143"/>
      <c r="G13" s="143"/>
      <c r="H13" s="143">
        <v>28584.15</v>
      </c>
      <c r="I13" s="143">
        <v>375017.33</v>
      </c>
      <c r="J13" s="143">
        <v>89573.63</v>
      </c>
      <c r="K13" s="143">
        <v>425198.47</v>
      </c>
      <c r="L13" s="143"/>
      <c r="M13" s="143"/>
      <c r="N13" s="143"/>
    </row>
    <row r="14" spans="1:18" s="133" customFormat="1" ht="29.4" thickBot="1">
      <c r="B14" s="142" t="s">
        <v>201</v>
      </c>
      <c r="C14" s="143"/>
      <c r="D14" s="143"/>
      <c r="E14" s="143"/>
      <c r="F14" s="143"/>
      <c r="G14" s="143">
        <v>-1900</v>
      </c>
      <c r="H14" s="143">
        <v>-26916</v>
      </c>
      <c r="I14" s="143">
        <v>-20170</v>
      </c>
      <c r="J14" s="207">
        <v>-3000</v>
      </c>
      <c r="K14" s="143">
        <v>-1700</v>
      </c>
      <c r="L14" s="143"/>
      <c r="M14" s="143"/>
      <c r="N14" s="143"/>
    </row>
    <row r="15" spans="1:18" s="133" customFormat="1" ht="15" thickBot="1">
      <c r="B15" s="139" t="s">
        <v>202</v>
      </c>
      <c r="C15" s="140"/>
      <c r="D15" s="140"/>
      <c r="E15" s="140"/>
      <c r="F15" s="140"/>
      <c r="G15" s="140">
        <f t="shared" ref="G15:N15" si="1">SUM(G8:G14)</f>
        <v>-111900</v>
      </c>
      <c r="H15" s="140">
        <f t="shared" si="1"/>
        <v>-12862929.289999999</v>
      </c>
      <c r="I15" s="140">
        <f>SUM(I8:I14)</f>
        <v>-4816272.34</v>
      </c>
      <c r="J15" s="140">
        <f>SUM(J8:J14)</f>
        <v>-7621619.0900000008</v>
      </c>
      <c r="K15" s="140">
        <f>SUM(K8:K14)</f>
        <v>-2125118.2700000005</v>
      </c>
      <c r="L15" s="140">
        <f t="shared" si="1"/>
        <v>0</v>
      </c>
      <c r="M15" s="140">
        <f t="shared" si="1"/>
        <v>0</v>
      </c>
      <c r="N15" s="140">
        <f t="shared" si="1"/>
        <v>0</v>
      </c>
    </row>
    <row r="16" spans="1:18" s="133" customFormat="1" ht="15" thickBot="1">
      <c r="B16" s="139" t="s">
        <v>203</v>
      </c>
      <c r="C16" s="144"/>
      <c r="D16" s="140"/>
      <c r="E16" s="144"/>
      <c r="F16" s="144"/>
      <c r="G16" s="144"/>
      <c r="H16" s="144"/>
      <c r="I16" s="144"/>
      <c r="J16" s="144"/>
      <c r="K16" s="144"/>
      <c r="L16" s="144"/>
      <c r="M16" s="144"/>
      <c r="N16" s="144"/>
    </row>
    <row r="17" spans="2:14" s="133" customFormat="1" ht="15" thickBot="1">
      <c r="B17" s="139" t="s">
        <v>204</v>
      </c>
      <c r="C17" s="140"/>
      <c r="D17" s="140"/>
      <c r="E17" s="140"/>
      <c r="F17" s="140"/>
      <c r="G17" s="140">
        <f t="shared" ref="G17:N17" si="2">SUM(G15:G16)</f>
        <v>-111900</v>
      </c>
      <c r="H17" s="140">
        <f t="shared" si="2"/>
        <v>-12862929.289999999</v>
      </c>
      <c r="I17" s="140">
        <f>SUM(I15:I16)</f>
        <v>-4816272.34</v>
      </c>
      <c r="J17" s="140">
        <f t="shared" si="2"/>
        <v>-7621619.0900000008</v>
      </c>
      <c r="K17" s="140">
        <f>SUM(K15:K16)</f>
        <v>-2125118.2700000005</v>
      </c>
      <c r="L17" s="140">
        <f t="shared" si="2"/>
        <v>0</v>
      </c>
      <c r="M17" s="140">
        <f t="shared" si="2"/>
        <v>0</v>
      </c>
      <c r="N17" s="140">
        <f t="shared" si="2"/>
        <v>0</v>
      </c>
    </row>
    <row r="18" spans="2:14" s="133" customFormat="1" ht="28.8">
      <c r="B18" s="145" t="s">
        <v>205</v>
      </c>
      <c r="C18" s="137"/>
      <c r="D18" s="137"/>
      <c r="E18" s="137"/>
      <c r="F18" s="137"/>
      <c r="G18" s="137"/>
      <c r="H18" s="137">
        <v>-200000000</v>
      </c>
      <c r="I18" s="137">
        <v>-235000000</v>
      </c>
      <c r="J18" s="137"/>
      <c r="K18" s="137"/>
      <c r="L18" s="137"/>
      <c r="M18" s="137"/>
      <c r="N18" s="137"/>
    </row>
    <row r="19" spans="2:14" s="133" customFormat="1" ht="32.4" customHeight="1">
      <c r="B19" s="145" t="s">
        <v>206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2:14" s="133" customFormat="1">
      <c r="B20" s="146" t="s">
        <v>126</v>
      </c>
      <c r="C20" s="138"/>
      <c r="D20" s="137"/>
      <c r="E20" s="138"/>
      <c r="F20" s="138"/>
      <c r="G20" s="138">
        <v>110000</v>
      </c>
      <c r="H20" s="138">
        <v>303300000</v>
      </c>
      <c r="I20" s="138"/>
      <c r="J20" s="138"/>
      <c r="K20" s="138"/>
      <c r="L20" s="138"/>
      <c r="M20" s="138"/>
      <c r="N20" s="138"/>
    </row>
    <row r="21" spans="2:14" s="133" customFormat="1">
      <c r="B21" s="136" t="s">
        <v>128</v>
      </c>
      <c r="C21" s="135"/>
      <c r="D21" s="138"/>
      <c r="E21" s="135"/>
      <c r="F21" s="135"/>
      <c r="G21" s="135"/>
      <c r="H21" s="135"/>
      <c r="I21" s="135">
        <v>-410000</v>
      </c>
      <c r="J21" s="135"/>
      <c r="K21" s="135">
        <v>-19551196.690000001</v>
      </c>
      <c r="L21" s="135"/>
      <c r="M21" s="135"/>
      <c r="N21" s="135"/>
    </row>
    <row r="22" spans="2:14" s="133" customFormat="1">
      <c r="B22" s="136" t="s">
        <v>207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</row>
    <row r="23" spans="2:14" s="133" customFormat="1">
      <c r="B23" s="136" t="s">
        <v>208</v>
      </c>
      <c r="C23" s="135"/>
      <c r="D23" s="135"/>
      <c r="E23" s="135"/>
      <c r="F23" s="135">
        <v>10000</v>
      </c>
      <c r="G23" s="135"/>
      <c r="H23" s="135"/>
      <c r="I23" s="135"/>
      <c r="J23" s="135"/>
      <c r="K23" s="135"/>
      <c r="L23" s="135"/>
      <c r="M23" s="135"/>
      <c r="N23" s="135"/>
    </row>
    <row r="24" spans="2:14" s="133" customFormat="1">
      <c r="B24" s="136" t="s">
        <v>209</v>
      </c>
      <c r="C24" s="135"/>
      <c r="D24" s="135"/>
      <c r="E24" s="135"/>
      <c r="G24" s="135"/>
      <c r="H24" s="135">
        <v>151400000</v>
      </c>
      <c r="I24" s="135"/>
      <c r="J24" s="135">
        <v>55986000</v>
      </c>
      <c r="K24" s="135">
        <v>2835000</v>
      </c>
      <c r="L24" s="135"/>
      <c r="M24" s="135"/>
      <c r="N24" s="135"/>
    </row>
    <row r="25" spans="2:14" s="133" customFormat="1">
      <c r="B25" s="142" t="s">
        <v>29</v>
      </c>
      <c r="C25" s="143"/>
      <c r="D25" s="135"/>
      <c r="E25" s="143"/>
      <c r="F25" s="143"/>
      <c r="G25" s="143"/>
      <c r="H25" s="143"/>
      <c r="I25" s="143"/>
      <c r="J25" s="143"/>
      <c r="K25" s="143"/>
      <c r="L25" s="143"/>
      <c r="M25" s="143"/>
      <c r="N25" s="143"/>
    </row>
    <row r="26" spans="2:14" s="133" customFormat="1">
      <c r="B26" s="136" t="s">
        <v>210</v>
      </c>
      <c r="C26" s="135"/>
      <c r="D26" s="143"/>
      <c r="E26" s="135"/>
      <c r="F26" s="135"/>
      <c r="G26" s="135"/>
      <c r="H26" s="135"/>
      <c r="I26" s="135"/>
      <c r="J26" s="135"/>
      <c r="K26" s="135"/>
      <c r="L26" s="135"/>
      <c r="M26" s="135"/>
      <c r="N26" s="135"/>
    </row>
    <row r="27" spans="2:14" ht="15" thickBot="1">
      <c r="B27" s="147" t="s">
        <v>211</v>
      </c>
      <c r="C27" s="143"/>
      <c r="D27" s="135"/>
      <c r="E27" s="143"/>
      <c r="F27" s="143"/>
      <c r="G27" s="143"/>
      <c r="H27" s="143"/>
      <c r="I27" s="143"/>
      <c r="J27" s="143"/>
      <c r="K27" s="143"/>
      <c r="L27" s="143"/>
      <c r="M27" s="143"/>
      <c r="N27" s="143"/>
    </row>
    <row r="28" spans="2:14" s="133" customFormat="1" ht="15" thickBot="1">
      <c r="B28" s="139" t="s">
        <v>212</v>
      </c>
      <c r="C28" s="140"/>
      <c r="D28" s="140"/>
      <c r="E28" s="140"/>
      <c r="F28" s="140"/>
      <c r="G28" s="140">
        <f t="shared" ref="G28:L28" si="3">F29</f>
        <v>10000</v>
      </c>
      <c r="H28" s="140">
        <f t="shared" si="3"/>
        <v>8100</v>
      </c>
      <c r="I28" s="140">
        <f>H29</f>
        <v>240652837.38</v>
      </c>
      <c r="J28" s="140">
        <f t="shared" si="3"/>
        <v>89631.69999999163</v>
      </c>
      <c r="K28" s="140">
        <f t="shared" si="3"/>
        <v>49748206.159999982</v>
      </c>
      <c r="L28" s="140">
        <f t="shared" si="3"/>
        <v>31306678.89999998</v>
      </c>
      <c r="M28" s="140">
        <v>0</v>
      </c>
      <c r="N28" s="140">
        <f t="shared" ref="N28" si="4">M29</f>
        <v>0</v>
      </c>
    </row>
    <row r="29" spans="2:14" s="133" customFormat="1" ht="15" thickBot="1">
      <c r="B29" s="139" t="s">
        <v>213</v>
      </c>
      <c r="C29" s="140">
        <f t="shared" ref="C29:G29" si="5">SUM(C17:C28)</f>
        <v>0</v>
      </c>
      <c r="D29" s="140">
        <f t="shared" si="5"/>
        <v>0</v>
      </c>
      <c r="E29" s="140">
        <f t="shared" si="5"/>
        <v>0</v>
      </c>
      <c r="F29" s="140">
        <f t="shared" si="5"/>
        <v>10000</v>
      </c>
      <c r="G29" s="140">
        <f t="shared" si="5"/>
        <v>8100</v>
      </c>
      <c r="H29" s="140">
        <f>SUM(H17:H28)+H36</f>
        <v>240652837.38</v>
      </c>
      <c r="I29" s="140">
        <f>SUM(I17:I28)+I36</f>
        <v>89631.69999999163</v>
      </c>
      <c r="J29" s="140">
        <f t="shared" ref="J29:N29" si="6">SUM(J17:J28)+J36</f>
        <v>49748206.159999982</v>
      </c>
      <c r="K29" s="140">
        <f>SUM(K17:K28)+K36</f>
        <v>31306678.89999998</v>
      </c>
      <c r="L29" s="140">
        <f t="shared" si="6"/>
        <v>31306678.89999998</v>
      </c>
      <c r="M29" s="140">
        <f t="shared" si="6"/>
        <v>0</v>
      </c>
      <c r="N29" s="140">
        <f t="shared" si="6"/>
        <v>0</v>
      </c>
    </row>
    <row r="30" spans="2:14" s="133" customFormat="1">
      <c r="B30" s="148" t="s">
        <v>214</v>
      </c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>
        <f t="shared" ref="M30:N30" si="7">M29-M28</f>
        <v>0</v>
      </c>
      <c r="N30" s="149">
        <f t="shared" si="7"/>
        <v>0</v>
      </c>
    </row>
    <row r="31" spans="2:14">
      <c r="B31" s="145" t="s">
        <v>215</v>
      </c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</row>
    <row r="32" spans="2:14" ht="28.8">
      <c r="B32" s="150" t="s">
        <v>216</v>
      </c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</row>
    <row r="33" spans="2:14">
      <c r="B33" s="150" t="s">
        <v>217</v>
      </c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</row>
    <row r="34" spans="2:14">
      <c r="B34" s="150" t="s">
        <v>218</v>
      </c>
      <c r="C34" s="135"/>
      <c r="D34" s="135"/>
      <c r="E34" s="135"/>
      <c r="F34" s="135"/>
      <c r="G34" s="135"/>
      <c r="H34" s="135"/>
      <c r="I34" s="135"/>
      <c r="J34" s="135"/>
      <c r="K34" s="135">
        <v>282928803.31</v>
      </c>
      <c r="L34" s="135"/>
      <c r="M34" s="135"/>
      <c r="N34" s="135"/>
    </row>
    <row r="35" spans="2:14">
      <c r="B35" s="150" t="s">
        <v>219</v>
      </c>
      <c r="C35" s="135"/>
      <c r="D35" s="135"/>
      <c r="E35" s="135"/>
      <c r="F35" s="135"/>
      <c r="G35" s="135"/>
      <c r="H35" s="135"/>
      <c r="I35" s="135"/>
      <c r="J35" s="135"/>
      <c r="K35" s="135">
        <v>7532786.9000000004</v>
      </c>
      <c r="L35" s="135"/>
      <c r="M35" s="135"/>
      <c r="N35" s="135"/>
    </row>
    <row r="36" spans="2:14">
      <c r="B36" s="150" t="s">
        <v>220</v>
      </c>
      <c r="C36" s="143"/>
      <c r="D36" s="143"/>
      <c r="E36" s="143"/>
      <c r="F36" s="143"/>
      <c r="G36" s="143"/>
      <c r="H36" s="143">
        <v>-1192333.33</v>
      </c>
      <c r="I36" s="143">
        <v>-336933.34</v>
      </c>
      <c r="J36" s="143">
        <v>1294193.55</v>
      </c>
      <c r="K36" s="143">
        <v>399787.7</v>
      </c>
      <c r="L36" s="143"/>
      <c r="M36" s="143"/>
      <c r="N36" s="143"/>
    </row>
    <row r="37" spans="2:14">
      <c r="B37" s="150" t="s">
        <v>221</v>
      </c>
      <c r="C37" s="150"/>
      <c r="D37" s="150"/>
      <c r="E37" s="150"/>
      <c r="F37" s="150"/>
      <c r="G37" s="150"/>
      <c r="H37" s="150"/>
      <c r="I37" s="136"/>
      <c r="J37" s="136"/>
      <c r="K37" s="136"/>
      <c r="L37" s="136"/>
      <c r="M37" s="136"/>
      <c r="N37" s="136"/>
    </row>
    <row r="39" spans="2:14">
      <c r="D39" s="196">
        <v>45473</v>
      </c>
      <c r="E39" s="197"/>
      <c r="F39" s="198"/>
      <c r="G39" s="198"/>
      <c r="J39" s="192">
        <v>208000000</v>
      </c>
      <c r="K39" s="192">
        <f>J39+K21</f>
        <v>188448803.31</v>
      </c>
    </row>
    <row r="40" spans="2:14">
      <c r="D40" s="193" t="s">
        <v>248</v>
      </c>
      <c r="E40" s="193" t="s">
        <v>245</v>
      </c>
      <c r="F40" s="193" t="s">
        <v>246</v>
      </c>
      <c r="G40" s="193" t="s">
        <v>247</v>
      </c>
    </row>
    <row r="41" spans="2:14">
      <c r="D41" s="194" t="s">
        <v>249</v>
      </c>
      <c r="E41" s="192">
        <v>208000000</v>
      </c>
      <c r="F41" s="192">
        <v>0</v>
      </c>
      <c r="G41" s="195">
        <f>SUM(E41:F41)</f>
        <v>208000000</v>
      </c>
    </row>
    <row r="42" spans="2:14">
      <c r="D42" s="194" t="s">
        <v>250</v>
      </c>
      <c r="E42" s="192">
        <v>25000000</v>
      </c>
      <c r="F42" s="192">
        <v>81967</v>
      </c>
      <c r="G42" s="195">
        <f t="shared" ref="G42:G44" si="8">SUM(E42:F42)</f>
        <v>25081967</v>
      </c>
    </row>
    <row r="43" spans="2:14">
      <c r="D43" s="194" t="s">
        <v>251</v>
      </c>
      <c r="E43" s="192">
        <v>70000000</v>
      </c>
      <c r="F43" s="192">
        <v>286885</v>
      </c>
      <c r="G43" s="195">
        <f t="shared" si="8"/>
        <v>70286885</v>
      </c>
    </row>
    <row r="44" spans="2:14">
      <c r="D44" s="194" t="s">
        <v>252</v>
      </c>
      <c r="E44" s="192">
        <v>410000</v>
      </c>
      <c r="F44" s="192">
        <v>3532</v>
      </c>
      <c r="G44" s="195">
        <f t="shared" si="8"/>
        <v>413532</v>
      </c>
    </row>
    <row r="46" spans="2:14">
      <c r="D46" s="196">
        <v>45565</v>
      </c>
      <c r="E46" s="197"/>
      <c r="F46" s="198"/>
      <c r="G46" s="198"/>
    </row>
    <row r="47" spans="2:14">
      <c r="D47" s="193" t="s">
        <v>248</v>
      </c>
      <c r="E47" s="193" t="s">
        <v>245</v>
      </c>
      <c r="F47" s="193" t="s">
        <v>246</v>
      </c>
      <c r="G47" s="193" t="s">
        <v>247</v>
      </c>
    </row>
    <row r="48" spans="2:14">
      <c r="D48" s="194" t="s">
        <v>249</v>
      </c>
      <c r="E48" s="217">
        <v>187928803</v>
      </c>
      <c r="F48" s="192">
        <v>0</v>
      </c>
      <c r="G48" s="195">
        <f>SUM(E48:F48)</f>
        <v>187928803</v>
      </c>
      <c r="H48" s="151" t="s">
        <v>253</v>
      </c>
      <c r="I48" s="218" t="s">
        <v>327</v>
      </c>
    </row>
    <row r="49" spans="4:8">
      <c r="D49" s="194" t="s">
        <v>250</v>
      </c>
      <c r="E49" s="192">
        <f>E42</f>
        <v>25000000</v>
      </c>
      <c r="F49" s="192">
        <v>1967213</v>
      </c>
      <c r="G49" s="195">
        <f>SUM(E49:F49)</f>
        <v>26967213</v>
      </c>
      <c r="H49" s="199">
        <v>0.3</v>
      </c>
    </row>
    <row r="50" spans="4:8">
      <c r="D50" s="194" t="s">
        <v>251</v>
      </c>
      <c r="E50" s="192">
        <f>E43</f>
        <v>70000000</v>
      </c>
      <c r="F50" s="192">
        <v>5565573</v>
      </c>
      <c r="G50" s="195">
        <f>SUM(E50:F50)</f>
        <v>75565573</v>
      </c>
      <c r="H50" s="199">
        <v>0.3</v>
      </c>
    </row>
    <row r="51" spans="4:8">
      <c r="D51" s="194" t="s">
        <v>252</v>
      </c>
      <c r="E51" s="192">
        <v>0</v>
      </c>
      <c r="F51" s="192">
        <v>0</v>
      </c>
      <c r="G51" s="195">
        <f t="shared" ref="G51" si="9">SUM(E51:F51)</f>
        <v>0</v>
      </c>
    </row>
    <row r="54" spans="4:8">
      <c r="D54" s="193" t="s">
        <v>252</v>
      </c>
      <c r="E54" s="220">
        <v>18750000</v>
      </c>
    </row>
    <row r="55" spans="4:8">
      <c r="D55" s="194" t="s">
        <v>309</v>
      </c>
      <c r="E55" s="192">
        <f>SUM(H11:K11)+907258-5000000</f>
        <v>-11306630.060000001</v>
      </c>
    </row>
    <row r="56" spans="4:8">
      <c r="D56" s="194" t="s">
        <v>256</v>
      </c>
      <c r="E56" s="309">
        <f>E54+E55</f>
        <v>7443369.9399999995</v>
      </c>
    </row>
  </sheetData>
  <pageMargins left="0.7" right="0.7" top="0.75" bottom="0.75" header="0.3" footer="0.3"/>
  <pageSetup paperSize="9" scale="6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A750E-FD95-42F2-B4DA-3BADE30E4C44}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7F879-0B7D-4C09-94BA-D3AD5FE9ED51}">
  <sheetPr>
    <tabColor theme="9"/>
  </sheetPr>
  <dimension ref="C2:S5"/>
  <sheetViews>
    <sheetView showGridLines="0" workbookViewId="0">
      <selection activeCell="K13" sqref="K13"/>
    </sheetView>
  </sheetViews>
  <sheetFormatPr defaultRowHeight="13.2"/>
  <cols>
    <col min="3" max="14" width="10.109375" bestFit="1" customWidth="1"/>
    <col min="15" max="15" width="2.44140625" customWidth="1"/>
    <col min="16" max="19" width="10.109375" bestFit="1" customWidth="1"/>
  </cols>
  <sheetData>
    <row r="2" spans="3:19">
      <c r="C2" s="388" t="s">
        <v>264</v>
      </c>
    </row>
    <row r="3" spans="3:19" ht="9.75" customHeight="1"/>
    <row r="4" spans="3:19">
      <c r="C4" s="222">
        <v>45322</v>
      </c>
      <c r="D4" s="222">
        <f t="shared" ref="D4:I4" si="0">EOMONTH(C4,1)</f>
        <v>45351</v>
      </c>
      <c r="E4" s="222">
        <f t="shared" si="0"/>
        <v>45382</v>
      </c>
      <c r="F4" s="222">
        <f t="shared" si="0"/>
        <v>45412</v>
      </c>
      <c r="G4" s="222">
        <f t="shared" si="0"/>
        <v>45443</v>
      </c>
      <c r="H4" s="222">
        <f t="shared" si="0"/>
        <v>45473</v>
      </c>
      <c r="I4" s="222">
        <f t="shared" si="0"/>
        <v>45504</v>
      </c>
      <c r="J4" s="222">
        <f>EOMONTH(I4,1)</f>
        <v>45535</v>
      </c>
      <c r="K4" s="222">
        <f t="shared" ref="K4:N4" si="1">EOMONTH(J4,1)</f>
        <v>45565</v>
      </c>
      <c r="L4" s="222">
        <f>EOMONTH(K4,1)</f>
        <v>45596</v>
      </c>
      <c r="M4" s="222">
        <f>EOMONTH(L4,1)</f>
        <v>45626</v>
      </c>
      <c r="N4" s="222">
        <f t="shared" si="1"/>
        <v>45657</v>
      </c>
      <c r="P4" s="222" t="s">
        <v>346</v>
      </c>
      <c r="Q4" s="222" t="s">
        <v>347</v>
      </c>
      <c r="R4" s="222" t="s">
        <v>348</v>
      </c>
      <c r="S4" s="222" t="s">
        <v>349</v>
      </c>
    </row>
    <row r="5" spans="3:19" s="99" customFormat="1">
      <c r="C5" s="389">
        <v>55632274.359999999</v>
      </c>
      <c r="D5" s="389">
        <v>56391080</v>
      </c>
      <c r="E5" s="389">
        <v>62355105</v>
      </c>
      <c r="F5" s="389">
        <v>57768544</v>
      </c>
      <c r="G5" s="389">
        <v>60195514</v>
      </c>
      <c r="H5" s="389">
        <v>58284998</v>
      </c>
      <c r="I5" s="389">
        <v>50847577</v>
      </c>
      <c r="J5" s="389">
        <v>55608322</v>
      </c>
      <c r="K5" s="389">
        <v>56769773.369999997</v>
      </c>
      <c r="L5" s="389">
        <v>60026829</v>
      </c>
      <c r="M5" s="389">
        <v>60999459</v>
      </c>
      <c r="N5" s="390">
        <f>M5*115%</f>
        <v>70149377.849999994</v>
      </c>
      <c r="P5" s="99">
        <f>AVERAGE(C5:E5)</f>
        <v>58126153.120000005</v>
      </c>
      <c r="Q5" s="99">
        <f>AVERAGE(F5:H5)</f>
        <v>58749685.333333336</v>
      </c>
      <c r="R5" s="99">
        <f>AVERAGE(I5:K5)</f>
        <v>54408557.456666671</v>
      </c>
      <c r="S5" s="99">
        <f>AVERAGE(L5:N5)</f>
        <v>63725221.949999996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17A80-91FF-48D7-A76E-4FBAD0476DD8}">
  <dimension ref="C2:I7"/>
  <sheetViews>
    <sheetView workbookViewId="0">
      <selection activeCell="L5" sqref="L5"/>
    </sheetView>
  </sheetViews>
  <sheetFormatPr defaultColWidth="8.88671875" defaultRowHeight="13.8"/>
  <cols>
    <col min="1" max="16384" width="8.88671875" style="381"/>
  </cols>
  <sheetData>
    <row r="2" spans="3:9" ht="14.4">
      <c r="C2" s="378" t="s">
        <v>342</v>
      </c>
      <c r="D2" s="379"/>
      <c r="E2" s="380"/>
      <c r="F2" s="380"/>
      <c r="G2" s="380"/>
      <c r="H2" s="380"/>
    </row>
    <row r="3" spans="3:9">
      <c r="C3" s="383">
        <v>1</v>
      </c>
      <c r="D3" s="382" t="s">
        <v>335</v>
      </c>
      <c r="I3" s="382" t="s">
        <v>338</v>
      </c>
    </row>
    <row r="4" spans="3:9">
      <c r="C4" s="383">
        <v>2</v>
      </c>
      <c r="D4" s="382" t="s">
        <v>336</v>
      </c>
      <c r="I4" s="382" t="s">
        <v>339</v>
      </c>
    </row>
    <row r="5" spans="3:9">
      <c r="C5" s="383">
        <v>3</v>
      </c>
      <c r="D5" s="382" t="s">
        <v>343</v>
      </c>
      <c r="I5" s="382" t="s">
        <v>339</v>
      </c>
    </row>
    <row r="6" spans="3:9">
      <c r="C6" s="383">
        <v>4</v>
      </c>
      <c r="D6" s="382" t="s">
        <v>337</v>
      </c>
      <c r="I6" s="382" t="s">
        <v>339</v>
      </c>
    </row>
    <row r="7" spans="3:9">
      <c r="C7" s="383">
        <v>5</v>
      </c>
      <c r="D7" s="382" t="s">
        <v>344</v>
      </c>
      <c r="I7" s="382" t="s">
        <v>339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0B092-E4B0-4B6B-B0E9-1FF0B52BC952}">
  <sheetPr>
    <tabColor theme="0" tint="-4.9989318521683403E-2"/>
  </sheetPr>
  <dimension ref="E1:AG47"/>
  <sheetViews>
    <sheetView showGridLines="0" zoomScale="55" zoomScaleNormal="55" workbookViewId="0">
      <selection activeCell="L5" sqref="L5"/>
    </sheetView>
  </sheetViews>
  <sheetFormatPr defaultColWidth="9.109375" defaultRowHeight="14.4" outlineLevelCol="1"/>
  <cols>
    <col min="1" max="4" width="3.6640625" style="226" customWidth="1"/>
    <col min="5" max="5" width="44.88671875" style="225" customWidth="1"/>
    <col min="6" max="11" width="13.44140625" style="226" bestFit="1" customWidth="1"/>
    <col min="12" max="13" width="12.33203125" style="228" hidden="1" customWidth="1" outlineLevel="1"/>
    <col min="14" max="23" width="12.33203125" style="226" hidden="1" customWidth="1" outlineLevel="1"/>
    <col min="24" max="24" width="11" style="226" hidden="1" customWidth="1" outlineLevel="1"/>
    <col min="25" max="25" width="7.33203125" style="226" hidden="1" customWidth="1" outlineLevel="1"/>
    <col min="26" max="26" width="9.109375" style="226" collapsed="1"/>
    <col min="27" max="27" width="10.88671875" style="226" bestFit="1" customWidth="1"/>
    <col min="28" max="28" width="11.77734375" style="226" customWidth="1"/>
    <col min="29" max="29" width="12.44140625" style="226" customWidth="1"/>
    <col min="30" max="36" width="9.109375" style="226"/>
    <col min="37" max="37" width="10.33203125" style="226" bestFit="1" customWidth="1"/>
    <col min="38" max="16384" width="9.109375" style="226"/>
  </cols>
  <sheetData>
    <row r="1" spans="5:29">
      <c r="I1" s="227"/>
    </row>
    <row r="2" spans="5:29">
      <c r="G2" s="229"/>
    </row>
    <row r="3" spans="5:29">
      <c r="E3" s="385" t="s">
        <v>307</v>
      </c>
      <c r="F3" s="386">
        <f>'Перекресток - Совхоз Ленина'!F93</f>
        <v>-1192333.33</v>
      </c>
      <c r="G3" s="386">
        <f>'Перекресток - Совхоз Ленина'!G93</f>
        <v>1357047.91</v>
      </c>
      <c r="H3" s="387"/>
      <c r="I3" s="387"/>
      <c r="J3" s="387"/>
      <c r="K3" s="387"/>
      <c r="L3" s="226"/>
    </row>
    <row r="4" spans="5:29" ht="34.950000000000003" customHeight="1">
      <c r="E4" s="231" t="s">
        <v>304</v>
      </c>
      <c r="F4" s="232" t="str">
        <f>'[3]Magnit Lybertsy_model'!J98</f>
        <v>2 кв.2024</v>
      </c>
      <c r="G4" s="232" t="s">
        <v>265</v>
      </c>
      <c r="H4" s="233" t="s">
        <v>127</v>
      </c>
      <c r="I4" s="233" t="s">
        <v>266</v>
      </c>
      <c r="J4" s="233" t="s">
        <v>267</v>
      </c>
      <c r="K4" s="234" t="s">
        <v>268</v>
      </c>
      <c r="L4" s="235" t="s">
        <v>269</v>
      </c>
      <c r="M4" s="235" t="s">
        <v>270</v>
      </c>
      <c r="N4" s="235" t="s">
        <v>271</v>
      </c>
      <c r="O4" s="235" t="s">
        <v>272</v>
      </c>
      <c r="P4" s="235" t="s">
        <v>273</v>
      </c>
      <c r="Q4" s="235" t="s">
        <v>274</v>
      </c>
      <c r="R4" s="235" t="s">
        <v>275</v>
      </c>
      <c r="S4" s="235" t="s">
        <v>276</v>
      </c>
      <c r="T4" s="235" t="s">
        <v>277</v>
      </c>
      <c r="U4" s="235" t="s">
        <v>278</v>
      </c>
      <c r="V4" s="235" t="s">
        <v>279</v>
      </c>
      <c r="W4" s="235" t="s">
        <v>280</v>
      </c>
      <c r="X4" s="235" t="s">
        <v>281</v>
      </c>
      <c r="Y4" s="236" t="s">
        <v>282</v>
      </c>
    </row>
    <row r="5" spans="5:29" s="227" customFormat="1" ht="18" customHeight="1">
      <c r="E5" s="237" t="s">
        <v>305</v>
      </c>
      <c r="F5" s="238">
        <f>'Перекресток - Совхоз Ленина'!F129</f>
        <v>0</v>
      </c>
      <c r="G5" s="238">
        <f>'Перекресток - Совхоз Ленина'!G129</f>
        <v>9870967.7400000002</v>
      </c>
      <c r="H5" s="239">
        <f>'Перекресток - Совхоз Ленина'!H129</f>
        <v>10200000</v>
      </c>
      <c r="I5" s="239">
        <f>'Перекресток - Совхоз Ленина'!I129</f>
        <v>11631043.239311999</v>
      </c>
      <c r="J5" s="239">
        <f>'Перекресток - Совхоз Ленина'!J129</f>
        <v>11755812.035199998</v>
      </c>
      <c r="K5" s="240">
        <f>'Перекресток - Совхоз Ленина'!K129</f>
        <v>10887152.347078998</v>
      </c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AA5" s="227">
        <f>SUM(H5:K5)</f>
        <v>44474007.621591002</v>
      </c>
      <c r="AB5" s="226"/>
    </row>
    <row r="6" spans="5:29" s="227" customFormat="1" ht="18" customHeight="1">
      <c r="E6" s="242" t="s">
        <v>194</v>
      </c>
      <c r="F6" s="243">
        <f>'Перекресток - Совхоз Ленина'!F137</f>
        <v>0</v>
      </c>
      <c r="G6" s="243">
        <f>'Перекресток - Совхоз Ленина'!G137</f>
        <v>0</v>
      </c>
      <c r="H6" s="244">
        <f>'Перекресток - Совхоз Ленина'!H137</f>
        <v>2367623.04</v>
      </c>
      <c r="I6" s="244">
        <f>'Перекресток - Совхоз Ленина'!I137</f>
        <v>1183811.52</v>
      </c>
      <c r="J6" s="244">
        <f>'Перекресток - Совхоз Ленина'!J137</f>
        <v>1183811.52</v>
      </c>
      <c r="K6" s="245">
        <f>'Перекресток - Совхоз Ленина'!K137</f>
        <v>1183811.52</v>
      </c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AA6" s="227">
        <f>AA5/12</f>
        <v>3706167.3017992503</v>
      </c>
      <c r="AB6" s="226"/>
      <c r="AC6" s="230"/>
    </row>
    <row r="7" spans="5:29" s="227" customFormat="1">
      <c r="E7" s="247" t="s">
        <v>222</v>
      </c>
      <c r="F7" s="248">
        <f>'Перекресток - Совхоз Ленина'!F136</f>
        <v>0</v>
      </c>
      <c r="G7" s="248">
        <f>'Перекресток - Совхоз Ленина'!G136</f>
        <v>-1183811.52</v>
      </c>
      <c r="H7" s="244">
        <f>'Перекресток - Совхоз Ленина'!H136</f>
        <v>-1183811.52</v>
      </c>
      <c r="I7" s="244">
        <f>'Перекресток - Совхоз Ленина'!I136</f>
        <v>-1183811.52</v>
      </c>
      <c r="J7" s="244">
        <f>'Перекресток - Совхоз Ленина'!J136</f>
        <v>-1183811.52</v>
      </c>
      <c r="K7" s="245">
        <f>'Перекресток - Совхоз Ленина'!K136</f>
        <v>-1183811.52</v>
      </c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AA7" s="227">
        <f>SUM(H11:K11)</f>
        <v>38862513.380215995</v>
      </c>
      <c r="AB7" s="226"/>
      <c r="AC7" s="250"/>
    </row>
    <row r="8" spans="5:29" s="252" customFormat="1" ht="18.75" customHeight="1">
      <c r="E8" s="251" t="s">
        <v>284</v>
      </c>
      <c r="F8" s="248">
        <f>'Перекресток - Совхоз Ленина'!F140</f>
        <v>0</v>
      </c>
      <c r="G8" s="248">
        <f>'Перекресток - Совхоз Ленина'!G140</f>
        <v>-283056.45</v>
      </c>
      <c r="H8" s="244">
        <f>'Перекресток - Совхоз Ленина'!H140</f>
        <v>-1011750</v>
      </c>
      <c r="I8" s="244">
        <f>'Перекресток - Совхоз Ленина'!I140</f>
        <v>-1011750</v>
      </c>
      <c r="J8" s="244">
        <f>'Перекресток - Совхоз Ленина'!J140</f>
        <v>-1011750</v>
      </c>
      <c r="K8" s="245">
        <f>'Перекресток - Совхоз Ленина'!K140</f>
        <v>-1011750</v>
      </c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</row>
    <row r="9" spans="5:29" ht="18" customHeight="1">
      <c r="E9" s="251" t="s">
        <v>111</v>
      </c>
      <c r="F9" s="248">
        <f>'Перекресток - Совхоз Ленина'!F138</f>
        <v>0</v>
      </c>
      <c r="G9" s="248">
        <f>'Перекресток - Совхоз Ленина'!G138</f>
        <v>0</v>
      </c>
      <c r="H9" s="244">
        <f>'Перекресток - Совхоз Ленина'!H138</f>
        <v>-955177.68730000011</v>
      </c>
      <c r="I9" s="244">
        <f>'Перекресток - Совхоз Ленина'!I138</f>
        <v>-477588.84365000005</v>
      </c>
      <c r="J9" s="244">
        <f>'Перекресток - Совхоз Ленина'!J138</f>
        <v>-477588.84365000005</v>
      </c>
      <c r="K9" s="245">
        <f>'Перекресток - Совхоз Ленина'!K138</f>
        <v>-477588.84365000005</v>
      </c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</row>
    <row r="10" spans="5:29" ht="18" customHeight="1">
      <c r="E10" s="253" t="s">
        <v>96</v>
      </c>
      <c r="F10" s="248">
        <f>'Перекресток - Совхоз Ленина'!F139</f>
        <v>0</v>
      </c>
      <c r="G10" s="248">
        <f>'Перекресток - Совхоз Ленина'!G139</f>
        <v>0</v>
      </c>
      <c r="H10" s="254">
        <f>'Перекресток - Совхоз Ленина'!H139</f>
        <v>-144144.61725000001</v>
      </c>
      <c r="I10" s="254">
        <f>'Перекресток - Совхоз Ленина'!I139</f>
        <v>-72072.308625000005</v>
      </c>
      <c r="J10" s="254">
        <f>'Перекресток - Совхоз Ленина'!J139</f>
        <v>-72072.308625000005</v>
      </c>
      <c r="K10" s="255">
        <f>'Перекресток - Совхоз Ленина'!K139</f>
        <v>-72072.308625000005</v>
      </c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</row>
    <row r="11" spans="5:29" ht="18" customHeight="1">
      <c r="E11" s="257" t="s">
        <v>283</v>
      </c>
      <c r="F11" s="258">
        <f>SUM(F5:F10)</f>
        <v>0</v>
      </c>
      <c r="G11" s="258">
        <f t="shared" ref="G11:K11" si="0">SUM(G5:G10)</f>
        <v>8404099.7700000014</v>
      </c>
      <c r="H11" s="239">
        <f t="shared" si="0"/>
        <v>9272739.21545</v>
      </c>
      <c r="I11" s="239">
        <f t="shared" si="0"/>
        <v>10069632.087036999</v>
      </c>
      <c r="J11" s="239">
        <f t="shared" si="0"/>
        <v>10194400.882924998</v>
      </c>
      <c r="K11" s="240">
        <f t="shared" si="0"/>
        <v>9325741.1948039979</v>
      </c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</row>
    <row r="12" spans="5:29" ht="18" customHeight="1">
      <c r="E12" s="251" t="s">
        <v>25</v>
      </c>
      <c r="F12" s="248">
        <f>'Перекресток - Совхоз Ленина'!F144</f>
        <v>0</v>
      </c>
      <c r="G12" s="248">
        <f>'Перекресток - Совхоз Ленина'!G144</f>
        <v>-172000</v>
      </c>
      <c r="H12" s="244">
        <f>'Перекресток - Совхоз Ленина'!H144</f>
        <v>0</v>
      </c>
      <c r="I12" s="244">
        <f>'Перекресток - Совхоз Ленина'!I144</f>
        <v>0</v>
      </c>
      <c r="J12" s="244">
        <f>'Перекресток - Совхоз Ленина'!J144</f>
        <v>0</v>
      </c>
      <c r="K12" s="245">
        <f>'Перекресток - Совхоз Ленина'!K144</f>
        <v>-294251.90973880934</v>
      </c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  <c r="Y12" s="249"/>
    </row>
    <row r="13" spans="5:29" ht="18" customHeight="1">
      <c r="E13" s="251" t="s">
        <v>8</v>
      </c>
      <c r="F13" s="248">
        <f>'Перекресток - Совхоз Ленина'!F145</f>
        <v>-4542000</v>
      </c>
      <c r="G13" s="248">
        <f>'Перекресток - Совхоз Ленина'!G145</f>
        <v>-7671888.0600000005</v>
      </c>
      <c r="H13" s="244">
        <f>'Перекресток - Совхоз Ленина'!H145</f>
        <v>-5860765.776025</v>
      </c>
      <c r="I13" s="244">
        <f>'Перекресток - Совхоз Ленина'!I145</f>
        <v>-1082522.6531097537</v>
      </c>
      <c r="J13" s="244">
        <f>'Перекресток - Совхоз Ленина'!J145</f>
        <v>-1194692.1768858128</v>
      </c>
      <c r="K13" s="245">
        <f>'Перекресток - Совхоз Ленина'!K145</f>
        <v>-1226049.6239117058</v>
      </c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</row>
    <row r="14" spans="5:29" ht="18" customHeight="1">
      <c r="E14" s="251" t="s">
        <v>341</v>
      </c>
      <c r="F14" s="248">
        <f>'Перекресток - Совхоз Ленина'!F146</f>
        <v>-432597.43999999994</v>
      </c>
      <c r="G14" s="248">
        <f>'Перекресток - Совхоз Ленина'!G146</f>
        <v>-4739364.8900000006</v>
      </c>
      <c r="H14" s="244">
        <f>'Перекресток - Совхоз Ленина'!H146</f>
        <v>-30000</v>
      </c>
      <c r="I14" s="244">
        <f>'Перекресток - Совхоз Ленина'!I146</f>
        <v>-30000</v>
      </c>
      <c r="J14" s="244">
        <f>'Перекресток - Совхоз Ленина'!J146</f>
        <v>-30000</v>
      </c>
      <c r="K14" s="245">
        <f>'Перекресток - Совхоз Ленина'!K146</f>
        <v>-30000</v>
      </c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</row>
    <row r="15" spans="5:29" ht="18" customHeight="1">
      <c r="E15" s="251" t="s">
        <v>285</v>
      </c>
      <c r="F15" s="248">
        <f>'Перекресток - Совхоз Ленина'!F153</f>
        <v>-8000000</v>
      </c>
      <c r="G15" s="248">
        <f>'Перекресток - Совхоз Ленина'!G153</f>
        <v>-11248775.949999999</v>
      </c>
      <c r="H15" s="244">
        <f>'Перекресток - Совхоз Ленина'!H153</f>
        <v>-10201458.153654372</v>
      </c>
      <c r="I15" s="244">
        <f>'Перекресток - Совхоз Ленина'!I153</f>
        <v>0</v>
      </c>
      <c r="J15" s="244">
        <f>'Перекресток - Совхоз Ленина'!J153</f>
        <v>0</v>
      </c>
      <c r="K15" s="245">
        <f>'Перекресток - Совхоз Ленина'!K153</f>
        <v>0</v>
      </c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</row>
    <row r="16" spans="5:29" ht="17.399999999999999" customHeight="1">
      <c r="E16" s="251" t="s">
        <v>286</v>
      </c>
      <c r="F16" s="248">
        <f>'Перекресток - Совхоз Ленина'!F151</f>
        <v>-30630000</v>
      </c>
      <c r="G16" s="248">
        <f>'Перекресток - Совхоз Ленина'!G151</f>
        <v>-1531500</v>
      </c>
      <c r="H16" s="244">
        <f>'Перекресток - Совхоз Ленина'!H151</f>
        <v>-2297250</v>
      </c>
      <c r="I16" s="244">
        <f>'Перекресток - Совхоз Ленина'!I151</f>
        <v>-2297250</v>
      </c>
      <c r="J16" s="244">
        <f>'Перекресток - Совхоз Ленина'!J151</f>
        <v>-2297250</v>
      </c>
      <c r="K16" s="245">
        <f>'Перекресток - Совхоз Ленина'!K151</f>
        <v>-2297250</v>
      </c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</row>
    <row r="17" spans="5:30" ht="18" customHeight="1">
      <c r="E17" s="251" t="s">
        <v>226</v>
      </c>
      <c r="F17" s="248">
        <f>'Перекресток - Совхоз Ленина'!F148</f>
        <v>-28816</v>
      </c>
      <c r="G17" s="248">
        <f>'Перекресток - Совхоз Ленина'!G148</f>
        <v>-24870</v>
      </c>
      <c r="H17" s="244">
        <f>'Перекресток - Совхоз Ленина'!H148</f>
        <v>-7500</v>
      </c>
      <c r="I17" s="244">
        <f>'Перекресток - Совхоз Ленина'!I148</f>
        <v>-167500</v>
      </c>
      <c r="J17" s="244">
        <f>'Перекресток - Совхоз Ленина'!J148</f>
        <v>-7500</v>
      </c>
      <c r="K17" s="245">
        <f>'Перекресток - Совхоз Ленина'!K148</f>
        <v>-7500</v>
      </c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</row>
    <row r="18" spans="5:30" ht="18" customHeight="1">
      <c r="E18" s="251" t="s">
        <v>225</v>
      </c>
      <c r="F18" s="248">
        <f>'Перекресток - Совхоз Ленина'!F147</f>
        <v>28584.15</v>
      </c>
      <c r="G18" s="248">
        <f>'Перекресток - Совхоз Ленина'!G147</f>
        <v>889789.42999999993</v>
      </c>
      <c r="H18" s="244">
        <f>'Перекресток - Совхоз Ленина'!H147</f>
        <v>905737.70491803286</v>
      </c>
      <c r="I18" s="244">
        <f>'Перекресток - Совхоз Ленина'!I147</f>
        <v>0</v>
      </c>
      <c r="J18" s="244">
        <f>'Перекресток - Совхоз Ленина'!J147</f>
        <v>0</v>
      </c>
      <c r="K18" s="245">
        <f>'Перекресток - Совхоз Ленина'!K147</f>
        <v>0</v>
      </c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</row>
    <row r="19" spans="5:30" ht="18" customHeight="1">
      <c r="E19" s="257" t="s">
        <v>202</v>
      </c>
      <c r="F19" s="258">
        <f t="shared" ref="F19:K19" si="1">SUM(F11:F18)</f>
        <v>-43604829.289999999</v>
      </c>
      <c r="G19" s="258">
        <f t="shared" si="1"/>
        <v>-16094509.699999999</v>
      </c>
      <c r="H19" s="239">
        <f t="shared" si="1"/>
        <v>-8218497.0093113389</v>
      </c>
      <c r="I19" s="239">
        <f t="shared" si="1"/>
        <v>6492359.4339272454</v>
      </c>
      <c r="J19" s="239">
        <f t="shared" si="1"/>
        <v>6664958.7060391847</v>
      </c>
      <c r="K19" s="240">
        <f t="shared" si="1"/>
        <v>5470689.6611534832</v>
      </c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</row>
    <row r="20" spans="5:30" ht="18" customHeight="1">
      <c r="E20" s="260" t="s">
        <v>306</v>
      </c>
      <c r="F20" s="248">
        <f>'Перекресток - Совхоз Ленина'!F159</f>
        <v>0</v>
      </c>
      <c r="G20" s="248">
        <f>'Перекресток - Совхоз Ленина'!G159</f>
        <v>0</v>
      </c>
      <c r="H20" s="244">
        <f>'Перекресток - Совхоз Ленина'!H159</f>
        <v>0</v>
      </c>
      <c r="I20" s="244">
        <f>'Перекресток - Совхоз Ленина'!I159</f>
        <v>-811544.92924090568</v>
      </c>
      <c r="J20" s="244">
        <f>'Перекресток - Совхоз Ленина'!J159</f>
        <v>-833119.83825489809</v>
      </c>
      <c r="K20" s="245">
        <f>'Перекресток - Совхоз Ленина'!K159</f>
        <v>-683836.2076441854</v>
      </c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</row>
    <row r="21" spans="5:30">
      <c r="E21" s="261" t="s">
        <v>204</v>
      </c>
      <c r="F21" s="238">
        <f>F19+F20</f>
        <v>-43604829.289999999</v>
      </c>
      <c r="G21" s="238">
        <f t="shared" ref="G21:K21" si="2">G19+G20</f>
        <v>-16094509.699999999</v>
      </c>
      <c r="H21" s="262">
        <f>H19+H20</f>
        <v>-8218497.0093113389</v>
      </c>
      <c r="I21" s="262">
        <f t="shared" si="2"/>
        <v>5680814.5046863398</v>
      </c>
      <c r="J21" s="262">
        <f t="shared" si="2"/>
        <v>5831838.8677842868</v>
      </c>
      <c r="K21" s="263">
        <f t="shared" si="2"/>
        <v>4786853.4535092982</v>
      </c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</row>
    <row r="22" spans="5:30" ht="18" customHeight="1">
      <c r="E22" s="260" t="s">
        <v>122</v>
      </c>
      <c r="F22" s="248">
        <f>'Перекресток - Совхоз Ленина'!F163</f>
        <v>-200000000</v>
      </c>
      <c r="G22" s="248">
        <f>'Перекресток - Совхоз Ленина'!G163</f>
        <v>-175000000</v>
      </c>
      <c r="H22" s="244">
        <f>'Перекресток - Совхоз Ленина'!H163</f>
        <v>0</v>
      </c>
      <c r="I22" s="244">
        <f>'Перекресток - Совхоз Ленина'!I163</f>
        <v>0</v>
      </c>
      <c r="J22" s="244">
        <f>'Перекресток - Совхоз Ленина'!J163</f>
        <v>0</v>
      </c>
      <c r="K22" s="245">
        <f>'Перекресток - Совхоз Ленина'!K163</f>
        <v>0</v>
      </c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</row>
    <row r="23" spans="5:30" ht="18" customHeight="1">
      <c r="E23" s="260" t="s">
        <v>125</v>
      </c>
      <c r="F23" s="248">
        <f>'Перекресток - Совхоз Ленина'!F164</f>
        <v>0</v>
      </c>
      <c r="G23" s="248">
        <f>'Перекресток - Совхоз Ленина'!G164</f>
        <v>-60000000</v>
      </c>
      <c r="H23" s="244">
        <f>'Перекресток - Совхоз Ленина'!H164</f>
        <v>60000000</v>
      </c>
      <c r="I23" s="244">
        <f>'Перекресток - Совхоз Ленина'!I164</f>
        <v>0</v>
      </c>
      <c r="J23" s="244">
        <f>'Перекресток - Совхоз Ленина'!J164</f>
        <v>0</v>
      </c>
      <c r="K23" s="245">
        <f>'Перекресток - Совхоз Ленина'!K164</f>
        <v>0</v>
      </c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</row>
    <row r="24" spans="5:30" ht="18" customHeight="1">
      <c r="E24" s="251" t="s">
        <v>126</v>
      </c>
      <c r="F24" s="248">
        <f>'Перекресток - Совхоз Ленина'!F161</f>
        <v>303410000</v>
      </c>
      <c r="G24" s="248">
        <f>'Перекресток - Совхоз Ленина'!G161</f>
        <v>0</v>
      </c>
      <c r="H24" s="244">
        <f>'Перекресток - Совхоз Ленина'!H161</f>
        <v>0</v>
      </c>
      <c r="I24" s="244">
        <f>'Перекресток - Совхоз Ленина'!I161</f>
        <v>0</v>
      </c>
      <c r="J24" s="244">
        <f>'Перекресток - Совхоз Ленина'!J161</f>
        <v>0</v>
      </c>
      <c r="K24" s="245">
        <f>'Перекресток - Совхоз Ленина'!K161</f>
        <v>0</v>
      </c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</row>
    <row r="25" spans="5:30" ht="14.4" customHeight="1">
      <c r="E25" s="251" t="s">
        <v>287</v>
      </c>
      <c r="F25" s="248">
        <f>'Перекресток - Совхоз Ленина'!F162</f>
        <v>0</v>
      </c>
      <c r="G25" s="248">
        <f>'Перекресток - Совхоз Ленина'!G162</f>
        <v>-19961196.690000001</v>
      </c>
      <c r="H25" s="244">
        <f>'Перекресток - Совхоз Ленина'!H162</f>
        <v>-217044431.61000001</v>
      </c>
      <c r="I25" s="244">
        <f>'Перекресток - Совхоз Ленина'!I162</f>
        <v>-80844261.524590164</v>
      </c>
      <c r="J25" s="244">
        <f>'Перекресток - Совхоз Ленина'!J162</f>
        <v>0</v>
      </c>
      <c r="K25" s="245">
        <f>'Перекресток - Совхоз Ленина'!K162</f>
        <v>0</v>
      </c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</row>
    <row r="26" spans="5:30" ht="14.4" customHeight="1">
      <c r="E26" s="251" t="s">
        <v>340</v>
      </c>
      <c r="F26" s="248">
        <f>'Перекресток - Совхоз Ленина'!F160</f>
        <v>151400000</v>
      </c>
      <c r="G26" s="248">
        <f>'Перекресток - Совхоз Ленина'!G160</f>
        <v>58821000</v>
      </c>
      <c r="H26" s="244">
        <f>'Перекресток - Совхоз Ленина'!H160</f>
        <v>144685000</v>
      </c>
      <c r="I26" s="244">
        <f>'Перекресток - Совхоз Ленина'!I160</f>
        <v>80000000</v>
      </c>
      <c r="J26" s="244">
        <f>'Перекресток - Совхоз Ленина'!J160</f>
        <v>0</v>
      </c>
      <c r="K26" s="245">
        <f>'Перекресток - Совхоз Ленина'!K160</f>
        <v>0</v>
      </c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</row>
    <row r="27" spans="5:30" ht="18" customHeight="1">
      <c r="E27" s="251" t="s">
        <v>210</v>
      </c>
      <c r="F27" s="248">
        <f>'Перекресток - Совхоз Ленина'!F166</f>
        <v>10000</v>
      </c>
      <c r="G27" s="248">
        <f>'Перекресток - Совхоз Ленина'!G166</f>
        <v>0</v>
      </c>
      <c r="H27" s="244">
        <f>'Перекресток - Совхоз Ленина'!H166</f>
        <v>0</v>
      </c>
      <c r="I27" s="244">
        <f>'Перекресток - Совхоз Ленина'!I166</f>
        <v>0</v>
      </c>
      <c r="J27" s="244">
        <f>'Перекресток - Совхоз Ленина'!J166</f>
        <v>0</v>
      </c>
      <c r="K27" s="245">
        <f>'Перекресток - Совхоз Ленина'!K166</f>
        <v>0</v>
      </c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</row>
    <row r="28" spans="5:30" ht="18" customHeight="1">
      <c r="E28" s="251" t="s">
        <v>211</v>
      </c>
      <c r="F28" s="248">
        <f>'Перекресток - Совхоз Ленина'!F165</f>
        <v>0</v>
      </c>
      <c r="G28" s="248">
        <f>'Перекресток - Совхоз Ленина'!G165</f>
        <v>0</v>
      </c>
      <c r="H28" s="244">
        <f>'Перекресток - Совхоз Ленина'!H165</f>
        <v>0</v>
      </c>
      <c r="I28" s="244">
        <f>'Перекресток - Совхоз Ленина'!I165</f>
        <v>0</v>
      </c>
      <c r="J28" s="244">
        <f>'Перекресток - Совхоз Ленина'!J165</f>
        <v>0</v>
      </c>
      <c r="K28" s="245">
        <f>'Перекресток - Совхоз Ленина'!K165</f>
        <v>0</v>
      </c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</row>
    <row r="29" spans="5:30" ht="15" customHeight="1">
      <c r="E29" s="264" t="s">
        <v>288</v>
      </c>
      <c r="F29" s="258">
        <f>SUM(F21:F28) - F16</f>
        <v>241845170.71000001</v>
      </c>
      <c r="G29" s="258">
        <f t="shared" ref="G29:K29" si="3">SUM(G21:G28) - G16</f>
        <v>-210703206.38999999</v>
      </c>
      <c r="H29" s="239">
        <f>SUM(H21:H28) - H16</f>
        <v>-18280678.619311363</v>
      </c>
      <c r="I29" s="239">
        <f t="shared" si="3"/>
        <v>7133802.9800961763</v>
      </c>
      <c r="J29" s="239">
        <f t="shared" si="3"/>
        <v>8129088.8677842868</v>
      </c>
      <c r="K29" s="240">
        <f t="shared" si="3"/>
        <v>7084103.4535092982</v>
      </c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</row>
    <row r="30" spans="5:30" ht="18" customHeight="1">
      <c r="E30" s="251" t="s">
        <v>29</v>
      </c>
      <c r="F30" s="248">
        <f>'Перекресток - Совхоз Ленина'!F177</f>
        <v>0</v>
      </c>
      <c r="G30" s="248">
        <f>'Перекресток - Совхоз Ленина'!G177</f>
        <v>4142400</v>
      </c>
      <c r="H30" s="244">
        <f>'Перекресток - Совхоз Ленина'!H177</f>
        <v>6142400</v>
      </c>
      <c r="I30" s="244">
        <f>'Перекресток - Совхоз Ленина'!I177</f>
        <v>8142400</v>
      </c>
      <c r="J30" s="244">
        <f>'Перекресток - Совхоз Ленина'!J177</f>
        <v>8142400</v>
      </c>
      <c r="K30" s="245">
        <f>'Перекресток - Совхоз Ленина'!K177</f>
        <v>8142400</v>
      </c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AA30" s="265"/>
      <c r="AB30" s="265"/>
      <c r="AC30" s="265"/>
      <c r="AD30" s="265"/>
    </row>
    <row r="31" spans="5:30" ht="18" customHeight="1">
      <c r="E31" s="261" t="s">
        <v>212</v>
      </c>
      <c r="F31" s="238">
        <v>0</v>
      </c>
      <c r="G31" s="238">
        <f t="shared" ref="G31:K31" si="4">F32</f>
        <v>240652837.38</v>
      </c>
      <c r="H31" s="262">
        <f>G32</f>
        <v>27164278.90000001</v>
      </c>
      <c r="I31" s="262">
        <f t="shared" si="4"/>
        <v>2741200.2806886472</v>
      </c>
      <c r="J31" s="262">
        <f t="shared" si="4"/>
        <v>1732603.2607848234</v>
      </c>
      <c r="K31" s="263">
        <f t="shared" si="4"/>
        <v>1719292.1285691112</v>
      </c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</row>
    <row r="32" spans="5:30" ht="18" customHeight="1">
      <c r="E32" s="261" t="s">
        <v>213</v>
      </c>
      <c r="F32" s="238">
        <f>F31+F29-F30 + F3</f>
        <v>240652837.38</v>
      </c>
      <c r="G32" s="238">
        <f>G31+G29-G30 + G3</f>
        <v>27164278.90000001</v>
      </c>
      <c r="H32" s="262">
        <f>H31+H29-H30</f>
        <v>2741200.2806886472</v>
      </c>
      <c r="I32" s="262">
        <f t="shared" ref="I32:K32" si="5">I31+I29-I30</f>
        <v>1732603.2607848234</v>
      </c>
      <c r="J32" s="262">
        <f t="shared" si="5"/>
        <v>1719292.1285691112</v>
      </c>
      <c r="K32" s="263">
        <f t="shared" si="5"/>
        <v>660995.58207840845</v>
      </c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</row>
    <row r="33" spans="5:33" ht="18" customHeight="1">
      <c r="E33" s="266" t="s">
        <v>214</v>
      </c>
      <c r="F33" s="267">
        <f>F32-F31</f>
        <v>240652837.38</v>
      </c>
      <c r="G33" s="267">
        <f>G32-G31</f>
        <v>-213488558.47999999</v>
      </c>
      <c r="H33" s="268">
        <f>H32-H31</f>
        <v>-24423078.619311363</v>
      </c>
      <c r="I33" s="268">
        <f>I32-I31</f>
        <v>-1008597.0199038237</v>
      </c>
      <c r="J33" s="268">
        <f t="shared" ref="J33:K33" si="6">J32-J31</f>
        <v>-13311.132215712219</v>
      </c>
      <c r="K33" s="269">
        <f t="shared" si="6"/>
        <v>-1058296.5464907028</v>
      </c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</row>
    <row r="34" spans="5:33" ht="18" customHeight="1">
      <c r="E34" s="266" t="s">
        <v>289</v>
      </c>
      <c r="F34" s="267">
        <f>'Перекресток - Совхоз Ленина'!F170</f>
        <v>375000000</v>
      </c>
      <c r="G34" s="267">
        <f>'Перекресток - Совхоз Ленина'!G170</f>
        <v>414038310.40999997</v>
      </c>
      <c r="H34" s="268">
        <f>'Перекресток - Совхоз Ленина'!H170</f>
        <v>433009061.24390149</v>
      </c>
      <c r="I34" s="268">
        <f>'Перекресток - Совхоз Ленина'!I170</f>
        <v>477876870.75432509</v>
      </c>
      <c r="J34" s="268">
        <f>'Перекресток - Совхоз Ленина'!J170</f>
        <v>490419849.5646823</v>
      </c>
      <c r="K34" s="269">
        <f>'Перекресток - Совхоз Ленина'!K170</f>
        <v>501970074.44575834</v>
      </c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</row>
    <row r="35" spans="5:33" ht="18" customHeight="1">
      <c r="E35" s="261" t="s">
        <v>308</v>
      </c>
      <c r="F35" s="238">
        <f>'Перекресток - Совхоз Ленина'!F173</f>
        <v>303782384</v>
      </c>
      <c r="G35" s="238">
        <f>'Перекресток - Совхоз Ленина'!G173</f>
        <v>290981589.31</v>
      </c>
      <c r="H35" s="262">
        <f>'Перекресток - Совхоз Ленина'!H173</f>
        <v>80844261.524590164</v>
      </c>
      <c r="I35" s="262">
        <f>'Перекресток - Совхоз Ленина'!I173</f>
        <v>0</v>
      </c>
      <c r="J35" s="262">
        <f>'Перекресток - Совхоз Ленина'!J173</f>
        <v>0</v>
      </c>
      <c r="K35" s="263">
        <f>'Перекресток - Совхоз Ленина'!K173</f>
        <v>0</v>
      </c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</row>
    <row r="36" spans="5:33" ht="18" customHeight="1">
      <c r="E36" s="271" t="s">
        <v>38</v>
      </c>
      <c r="F36" s="272">
        <f>'Перекресток - Совхоз Ленина'!F174</f>
        <v>151400000</v>
      </c>
      <c r="G36" s="272">
        <f>'Перекресток - Совхоз Ленина'!G174</f>
        <v>210221000</v>
      </c>
      <c r="H36" s="273">
        <f>'Перекресток - Совхоз Ленина'!H174</f>
        <v>354906000</v>
      </c>
      <c r="I36" s="273">
        <f>'Перекресток - Совхоз Ленина'!I174</f>
        <v>479609474.0151099</v>
      </c>
      <c r="J36" s="273">
        <f>'Перекресток - Совхоз Ленина'!J174</f>
        <v>492139141.69325143</v>
      </c>
      <c r="K36" s="274">
        <f>'Перекресток - Совхоз Ленина'!K174</f>
        <v>502631070.02783674</v>
      </c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</row>
    <row r="37" spans="5:33" ht="18" customHeight="1">
      <c r="E37" s="261" t="s">
        <v>290</v>
      </c>
      <c r="F37" s="238">
        <f>'Перекресток - Совхоз Ленина'!F175</f>
        <v>20000</v>
      </c>
      <c r="G37" s="238">
        <f>'Перекресток - Совхоз Ленина'!G175</f>
        <v>22000</v>
      </c>
      <c r="H37" s="262">
        <f>'Перекресток - Совхоз Ленина'!H175</f>
        <v>23000</v>
      </c>
      <c r="I37" s="262">
        <f>'Перекресток - Совхоз Ленина'!I175</f>
        <v>23561.086363485454</v>
      </c>
      <c r="J37" s="262">
        <f>'Перекресток - Совхоз Ленина'!J175</f>
        <v>24176.613366734695</v>
      </c>
      <c r="K37" s="263">
        <f>'Перекресток - Совхоз Ленина'!K175</f>
        <v>24692.035273523124</v>
      </c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</row>
    <row r="38" spans="5:33" ht="18" customHeight="1">
      <c r="E38" s="261" t="s">
        <v>291</v>
      </c>
      <c r="F38" s="238">
        <f>'Перекресток - Совхоз Ленина'!F178</f>
        <v>0</v>
      </c>
      <c r="G38" s="238">
        <f>'Перекресток - Совхоз Ленина'!G178</f>
        <v>400</v>
      </c>
      <c r="H38" s="262">
        <f>'Перекресток - Совхоз Ленина'!H178</f>
        <v>400</v>
      </c>
      <c r="I38" s="262">
        <f>'Перекресток - Совхоз Ленина'!I178</f>
        <v>400</v>
      </c>
      <c r="J38" s="262">
        <f>'Перекресток - Совхоз Ленина'!J178</f>
        <v>400</v>
      </c>
      <c r="K38" s="263">
        <f>'Перекресток - Совхоз Ленина'!K178</f>
        <v>400</v>
      </c>
      <c r="L38" s="275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275"/>
      <c r="Y38" s="275"/>
    </row>
    <row r="39" spans="5:33" ht="18" customHeight="1">
      <c r="E39" s="271" t="s">
        <v>292</v>
      </c>
      <c r="F39" s="276">
        <f>'Перекресток - Совхоз Ленина'!F169</f>
        <v>0.10117565854776532</v>
      </c>
      <c r="G39" s="276">
        <f>'Перекресток - Совхоз Ленина'!G169</f>
        <v>9.3862119526409354E-2</v>
      </c>
      <c r="H39" s="277">
        <f>'Перекресток - Совхоз Ленина'!H169</f>
        <v>9.4060831677941298E-2</v>
      </c>
      <c r="I39" s="277">
        <f>'Перекресток - Совхоз Ленина'!I169</f>
        <v>8.7499999999999994E-2</v>
      </c>
      <c r="J39" s="277">
        <f>'Перекресток - Совхоз Ленина'!J169</f>
        <v>8.7499999999999994E-2</v>
      </c>
      <c r="K39" s="278">
        <f>'Перекресток - Совхоз Ленина'!K169</f>
        <v>8.7499999999999994E-2</v>
      </c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279"/>
      <c r="Y39" s="279"/>
    </row>
    <row r="40" spans="5:33">
      <c r="E40" s="226"/>
      <c r="F40" s="280"/>
      <c r="G40" s="280"/>
      <c r="H40" s="280"/>
      <c r="I40" s="280"/>
    </row>
    <row r="41" spans="5:33" s="283" customFormat="1" ht="18">
      <c r="E41" s="281" t="s">
        <v>293</v>
      </c>
      <c r="F41" s="282">
        <f>F32-'Перекресток - Совхоз Ленина'!F184</f>
        <v>0</v>
      </c>
      <c r="G41" s="282">
        <f>G32-'Перекресток - Совхоз Ленина'!G184</f>
        <v>0</v>
      </c>
      <c r="H41" s="282">
        <f>H32-'Перекресток - Совхоз Ленина'!H184</f>
        <v>-7.4505805969238281E-9</v>
      </c>
      <c r="I41" s="282">
        <f>I32-'Перекресток - Совхоз Ленина'!I184</f>
        <v>0</v>
      </c>
      <c r="J41" s="282">
        <f>J32-'Перекресток - Совхоз Ленина'!J184</f>
        <v>0</v>
      </c>
      <c r="K41" s="282">
        <f>K32-'Перекресток - Совхоз Ленина'!K184</f>
        <v>0</v>
      </c>
      <c r="L41" s="282">
        <f>L32-'Перекресток - Совхоз Ленина'!L184</f>
        <v>-849248.90978330933</v>
      </c>
      <c r="M41" s="282">
        <f>M32-'Перекресток - Совхоз Ленина'!M184</f>
        <v>-847806.12948953081</v>
      </c>
      <c r="N41" s="282">
        <f>N32-'Перекресток - Совхоз Ленина'!N184</f>
        <v>-1075636.8273857115</v>
      </c>
      <c r="O41" s="282">
        <f>O32-'Перекресток - Совхоз Ленина'!O184</f>
        <v>-142672.84864890296</v>
      </c>
      <c r="P41" s="282">
        <f>P32-'Перекресток - Совхоз Ленина'!P184</f>
        <v>-1795037.5230151499</v>
      </c>
      <c r="Q41" s="282">
        <f>Q32-'Перекресток - Совхоз Ленина'!Q184</f>
        <v>-1050200.6048411904</v>
      </c>
      <c r="R41" s="282">
        <f>R32-'Перекресток - Совхоз Ленина'!R184</f>
        <v>-950579.03131617513</v>
      </c>
      <c r="S41" s="282">
        <f>S32-'Перекресток - Совхоз Ленина'!S184</f>
        <v>-996805.55522903148</v>
      </c>
      <c r="T41" s="282">
        <f>T32-'Перекресток - Совхоз Ленина'!T184</f>
        <v>-1022160.2083198195</v>
      </c>
      <c r="U41" s="282">
        <f>U32-'Перекресток - Совхоз Ленина'!U184</f>
        <v>-1092382.7137694983</v>
      </c>
      <c r="V41" s="282">
        <f>V32-'Перекресток - Совхоз Ленина'!V184</f>
        <v>-1003279.3429050008</v>
      </c>
      <c r="W41" s="282">
        <f>W32-'Перекресток - Совхоз Ленина'!W184</f>
        <v>-929809.2330430327</v>
      </c>
      <c r="X41" s="282">
        <f>X32-'Перекресток - Совхоз Ленина'!X184</f>
        <v>-1061822.2570452066</v>
      </c>
      <c r="Y41" s="282">
        <f>Y32-'Перекресток - Совхоз Ленина'!Y184</f>
        <v>-1034485.2030029381</v>
      </c>
    </row>
    <row r="43" spans="5:33">
      <c r="F43" s="265"/>
    </row>
    <row r="44" spans="5:33">
      <c r="F44" s="265"/>
    </row>
    <row r="45" spans="5:33">
      <c r="F45" s="265"/>
      <c r="AF45" s="227"/>
      <c r="AG45" s="227"/>
    </row>
    <row r="46" spans="5:33">
      <c r="E46" s="226"/>
    </row>
    <row r="47" spans="5:33">
      <c r="E47" s="226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BC40B-93AA-4296-A06E-ED50918A044E}">
  <sheetPr>
    <tabColor theme="0" tint="-4.9989318521683403E-2"/>
  </sheetPr>
  <dimension ref="A1:O45"/>
  <sheetViews>
    <sheetView showGridLines="0" zoomScale="55" zoomScaleNormal="55" workbookViewId="0">
      <pane xSplit="2" ySplit="2" topLeftCell="C3" activePane="bottomRight" state="frozen"/>
      <selection activeCell="L5" sqref="L5"/>
      <selection pane="topRight" activeCell="L5" sqref="L5"/>
      <selection pane="bottomLeft" activeCell="L5" sqref="L5"/>
      <selection pane="bottomRight" activeCell="L5" sqref="L5"/>
    </sheetView>
  </sheetViews>
  <sheetFormatPr defaultColWidth="8.88671875" defaultRowHeight="18"/>
  <cols>
    <col min="1" max="1" width="42.6640625" style="292" customWidth="1"/>
    <col min="2" max="2" width="12.109375" style="292" bestFit="1" customWidth="1"/>
    <col min="3" max="3" width="15.6640625" style="292" bestFit="1" customWidth="1"/>
    <col min="4" max="5" width="10.109375" style="292" customWidth="1"/>
    <col min="6" max="7" width="14.6640625" style="373" customWidth="1"/>
    <col min="8" max="15" width="14.6640625" style="295" customWidth="1"/>
    <col min="16" max="16384" width="8.88671875" style="292"/>
  </cols>
  <sheetData>
    <row r="1" spans="1:15" s="289" customFormat="1">
      <c r="A1" s="284" t="s">
        <v>294</v>
      </c>
      <c r="B1" s="285"/>
      <c r="C1" s="286"/>
      <c r="D1" s="286"/>
      <c r="E1" s="286"/>
      <c r="F1" s="287"/>
      <c r="G1" s="287"/>
      <c r="H1" s="287"/>
      <c r="I1" s="287"/>
      <c r="J1" s="287"/>
      <c r="K1" s="287"/>
      <c r="L1" s="288"/>
      <c r="M1" s="288"/>
      <c r="N1" s="288"/>
      <c r="O1" s="288"/>
    </row>
    <row r="2" spans="1:15" s="289" customFormat="1" ht="17.399999999999999">
      <c r="A2" s="286" t="s">
        <v>295</v>
      </c>
      <c r="B2" s="285" t="s">
        <v>296</v>
      </c>
      <c r="C2" s="286"/>
      <c r="D2" s="286"/>
      <c r="E2" s="286"/>
      <c r="F2" s="372" t="s">
        <v>329</v>
      </c>
      <c r="G2" s="290" t="s">
        <v>330</v>
      </c>
      <c r="H2" s="290" t="s">
        <v>331</v>
      </c>
      <c r="I2" s="290" t="s">
        <v>332</v>
      </c>
      <c r="J2" s="290" t="s">
        <v>333</v>
      </c>
      <c r="K2" s="290" t="s">
        <v>265</v>
      </c>
      <c r="L2" s="291"/>
      <c r="M2" s="291"/>
      <c r="N2" s="291"/>
      <c r="O2" s="291"/>
    </row>
    <row r="4" spans="1:15">
      <c r="A4" s="292" t="s">
        <v>334</v>
      </c>
      <c r="B4" s="293" t="s">
        <v>152</v>
      </c>
      <c r="C4" s="294">
        <v>31056</v>
      </c>
    </row>
    <row r="5" spans="1:15">
      <c r="C5" s="296"/>
    </row>
    <row r="8" spans="1:15">
      <c r="F8" s="305" t="s">
        <v>122</v>
      </c>
      <c r="G8" s="372" t="s">
        <v>265</v>
      </c>
      <c r="H8" s="299"/>
      <c r="I8" s="299"/>
      <c r="J8" s="299"/>
      <c r="K8" s="299"/>
      <c r="L8" s="299"/>
      <c r="M8" s="299"/>
      <c r="N8" s="299"/>
      <c r="O8" s="299"/>
    </row>
    <row r="9" spans="1:15">
      <c r="C9" s="296"/>
      <c r="F9" s="298"/>
      <c r="G9" s="298"/>
      <c r="H9" s="299"/>
      <c r="I9" s="299"/>
      <c r="J9" s="299"/>
      <c r="K9" s="299"/>
      <c r="L9" s="299"/>
      <c r="M9" s="299"/>
      <c r="N9" s="299"/>
      <c r="O9" s="299"/>
    </row>
    <row r="10" spans="1:15">
      <c r="A10" s="292" t="s">
        <v>345</v>
      </c>
      <c r="B10" s="292" t="s">
        <v>301</v>
      </c>
      <c r="F10" s="300">
        <f>'Stock Price &amp; Dividends '!F10</f>
        <v>375</v>
      </c>
      <c r="G10" s="300">
        <f>'Stock Price &amp; Dividends '!G10</f>
        <v>414.03831040999995</v>
      </c>
      <c r="H10" s="300"/>
      <c r="I10" s="300"/>
      <c r="J10" s="300"/>
      <c r="K10" s="300"/>
      <c r="L10" s="301"/>
      <c r="M10" s="301"/>
      <c r="N10" s="301"/>
      <c r="O10" s="301"/>
    </row>
    <row r="11" spans="1:15">
      <c r="A11" s="292" t="s">
        <v>302</v>
      </c>
      <c r="B11" s="292" t="s">
        <v>301</v>
      </c>
      <c r="F11" s="300">
        <f>'Stock Price &amp; Dividends '!F11</f>
        <v>151.4</v>
      </c>
      <c r="G11" s="300">
        <f>'Stock Price &amp; Dividends '!G11</f>
        <v>210.221</v>
      </c>
      <c r="H11" s="300"/>
      <c r="I11" s="300"/>
      <c r="J11" s="300"/>
      <c r="K11" s="300"/>
      <c r="L11" s="301"/>
      <c r="M11" s="301"/>
      <c r="N11" s="301"/>
      <c r="O11" s="301"/>
    </row>
    <row r="12" spans="1:15">
      <c r="A12" s="292" t="s">
        <v>123</v>
      </c>
      <c r="B12" s="292" t="s">
        <v>301</v>
      </c>
      <c r="F12" s="300">
        <f>'Stock Price &amp; Dividends '!F12</f>
        <v>303.78238399999998</v>
      </c>
      <c r="G12" s="300">
        <f>'Stock Price &amp; Dividends '!G12</f>
        <v>290.98158931</v>
      </c>
      <c r="H12" s="300"/>
      <c r="I12" s="300"/>
      <c r="J12" s="302"/>
      <c r="K12" s="302"/>
      <c r="L12" s="301"/>
      <c r="M12" s="301"/>
      <c r="N12" s="301"/>
      <c r="O12" s="301"/>
    </row>
    <row r="14" spans="1:15" ht="17.399999999999999">
      <c r="B14" s="293"/>
      <c r="F14" s="290" t="str">
        <f>F2</f>
        <v>04.08.2022</v>
      </c>
      <c r="G14" s="290" t="str">
        <f>'[5]Perekrestok Prokshino_model'!H109</f>
        <v>4 кв. 2022</v>
      </c>
      <c r="H14" s="291" t="str">
        <f>'[5]Perekrestok Prokshino_model'!I109</f>
        <v>1 кв. 2023</v>
      </c>
      <c r="I14" s="291" t="str">
        <f>'[5]Perekrestok Prokshino_model'!J109</f>
        <v>2 кв. 2023</v>
      </c>
      <c r="J14" s="291" t="str">
        <f>'[5]Perekrestok Prokshino_model'!K109</f>
        <v>3 кв. 2023</v>
      </c>
      <c r="K14" s="291" t="str">
        <f>'[5]Perekrestok Prokshino_model'!L109</f>
        <v>4 кв. 2023</v>
      </c>
      <c r="L14" s="291" t="str">
        <f>'[5]Perekrestok Prokshino_model'!M109</f>
        <v>1 кв. 2024</v>
      </c>
      <c r="M14" s="291" t="str">
        <f>'[5]Perekrestok Prokshino_model'!N109</f>
        <v>2 кв. 2024</v>
      </c>
      <c r="N14" s="291" t="str">
        <f>'[5]Perekrestok Prokshino_model'!O109</f>
        <v>3 кв. 2024</v>
      </c>
      <c r="O14" s="291" t="str">
        <f>'[5]Perekrestok Prokshino_model'!P109</f>
        <v>4 кв. 2024</v>
      </c>
    </row>
    <row r="15" spans="1:15">
      <c r="A15" s="292" t="s">
        <v>303</v>
      </c>
      <c r="B15" s="293" t="s">
        <v>139</v>
      </c>
      <c r="F15" s="300">
        <v>10000</v>
      </c>
      <c r="G15" s="300">
        <f>'[5]Perekrestok Prokshino_model'!H178</f>
        <v>11000</v>
      </c>
      <c r="H15" s="300">
        <f>'[5]Perekrestok Prokshino_model'!I178</f>
        <v>11500</v>
      </c>
      <c r="I15" s="300">
        <f>'[5]Perekrestok Prokshino_model'!J178</f>
        <v>12000</v>
      </c>
      <c r="J15" s="300">
        <f>'[5]Perekrestok Prokshino_model'!K178</f>
        <v>12500</v>
      </c>
      <c r="K15" s="300">
        <f>'[5]Perekrestok Prokshino_model'!L178</f>
        <v>13000</v>
      </c>
      <c r="L15" s="300">
        <f>'[5]Perekrestok Prokshino_model'!M178</f>
        <v>13500</v>
      </c>
      <c r="M15" s="300">
        <f>'[5]Perekrestok Prokshino_model'!N178</f>
        <v>14000</v>
      </c>
      <c r="N15" s="300">
        <f>'[5]Perekrestok Prokshino_model'!O178</f>
        <v>14500</v>
      </c>
      <c r="O15" s="301"/>
    </row>
    <row r="16" spans="1:15">
      <c r="A16" s="292" t="s">
        <v>85</v>
      </c>
      <c r="B16" s="293" t="s">
        <v>139</v>
      </c>
      <c r="C16" s="296"/>
      <c r="F16" s="300">
        <v>0</v>
      </c>
      <c r="G16" s="300">
        <v>0</v>
      </c>
      <c r="H16" s="300">
        <v>0</v>
      </c>
      <c r="I16" s="300">
        <v>0</v>
      </c>
      <c r="J16" s="300">
        <v>6000</v>
      </c>
      <c r="K16" s="300">
        <f>J16/3</f>
        <v>2000</v>
      </c>
      <c r="L16" s="300">
        <v>4000</v>
      </c>
      <c r="M16" s="300">
        <f>M17/L17*L16</f>
        <v>6000</v>
      </c>
      <c r="N16" s="300">
        <f>N17/M17*M16</f>
        <v>8000</v>
      </c>
      <c r="O16" s="301"/>
    </row>
    <row r="17" spans="6:14">
      <c r="F17" s="374"/>
      <c r="G17" s="374"/>
      <c r="H17" s="303"/>
      <c r="I17" s="303"/>
      <c r="J17" s="303">
        <v>30</v>
      </c>
      <c r="K17" s="303">
        <v>10</v>
      </c>
      <c r="L17" s="303">
        <v>20</v>
      </c>
      <c r="M17" s="303">
        <v>30</v>
      </c>
      <c r="N17" s="303">
        <v>40</v>
      </c>
    </row>
    <row r="19" spans="6:14">
      <c r="F19" s="375"/>
    </row>
    <row r="20" spans="6:14">
      <c r="I20" s="304">
        <f>N15/F15-1</f>
        <v>0.44999999999999996</v>
      </c>
      <c r="J20" s="304">
        <f>K10/F10-1</f>
        <v>-1</v>
      </c>
    </row>
    <row r="21" spans="6:14">
      <c r="I21" s="304">
        <f>N15/M15-1</f>
        <v>3.5714285714285809E-2</v>
      </c>
      <c r="J21" s="304" t="e">
        <f>K10/J10-1</f>
        <v>#DIV/0!</v>
      </c>
    </row>
    <row r="22" spans="6:14">
      <c r="I22" s="304"/>
    </row>
    <row r="43" spans="6:11">
      <c r="F43" s="373">
        <v>280</v>
      </c>
      <c r="G43" s="373">
        <v>388.2</v>
      </c>
      <c r="H43" s="295">
        <v>403.72800000000001</v>
      </c>
      <c r="I43" s="295">
        <v>418.28556024</v>
      </c>
      <c r="J43" s="295">
        <v>443.56794798000004</v>
      </c>
      <c r="K43" s="295">
        <v>462.34913058000006</v>
      </c>
    </row>
    <row r="44" spans="6:11">
      <c r="F44" s="373">
        <v>25</v>
      </c>
      <c r="G44" s="373">
        <v>389.06065258000001</v>
      </c>
      <c r="H44" s="295">
        <v>404.12263281000003</v>
      </c>
      <c r="I44" s="295">
        <v>419.25599999999997</v>
      </c>
      <c r="J44" s="295">
        <v>434.78399999999999</v>
      </c>
      <c r="K44" s="295">
        <v>450.31200000000001</v>
      </c>
    </row>
    <row r="45" spans="6:11">
      <c r="F45" s="373">
        <v>252</v>
      </c>
      <c r="G45" s="373">
        <v>0</v>
      </c>
      <c r="H45" s="295">
        <v>0</v>
      </c>
      <c r="I45" s="295">
        <v>0</v>
      </c>
      <c r="J45" s="295">
        <v>8.8570969999999996</v>
      </c>
      <c r="K45" s="295">
        <v>12.808664220000001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96E69-418E-4577-A5C0-F83BA74E7163}">
  <sheetPr>
    <tabColor theme="0" tint="-4.9989318521683403E-2"/>
  </sheetPr>
  <dimension ref="A1:M22"/>
  <sheetViews>
    <sheetView showGridLines="0" zoomScale="40" zoomScaleNormal="40" workbookViewId="0">
      <pane xSplit="2" ySplit="2" topLeftCell="C3" activePane="bottomRight" state="frozen"/>
      <selection activeCell="L5" sqref="L5"/>
      <selection pane="topRight" activeCell="L5" sqref="L5"/>
      <selection pane="bottomLeft" activeCell="L5" sqref="L5"/>
      <selection pane="bottomRight" activeCell="L5" sqref="L5"/>
    </sheetView>
  </sheetViews>
  <sheetFormatPr defaultColWidth="8.88671875" defaultRowHeight="18"/>
  <cols>
    <col min="1" max="1" width="42.6640625" style="292" customWidth="1"/>
    <col min="2" max="2" width="12.109375" style="292" bestFit="1" customWidth="1"/>
    <col min="3" max="3" width="15.6640625" style="292" bestFit="1" customWidth="1"/>
    <col min="4" max="5" width="10.109375" style="292" customWidth="1"/>
    <col min="6" max="13" width="14.6640625" style="295" customWidth="1"/>
    <col min="14" max="16384" width="8.88671875" style="292"/>
  </cols>
  <sheetData>
    <row r="1" spans="1:13" s="289" customFormat="1">
      <c r="A1" s="284" t="s">
        <v>294</v>
      </c>
      <c r="B1" s="285"/>
      <c r="C1" s="286"/>
      <c r="D1" s="286"/>
      <c r="E1" s="286"/>
      <c r="F1" s="287"/>
      <c r="G1" s="287"/>
      <c r="H1" s="287"/>
      <c r="I1" s="287"/>
      <c r="J1" s="288"/>
      <c r="K1" s="288"/>
      <c r="L1" s="288"/>
      <c r="M1" s="288"/>
    </row>
    <row r="2" spans="1:13" s="289" customFormat="1" ht="17.399999999999999">
      <c r="A2" s="286" t="s">
        <v>295</v>
      </c>
      <c r="B2" s="285" t="s">
        <v>296</v>
      </c>
      <c r="C2" s="286"/>
      <c r="D2" s="286"/>
      <c r="E2" s="286"/>
      <c r="F2" s="305" t="s">
        <v>122</v>
      </c>
      <c r="G2" s="290" t="s">
        <v>265</v>
      </c>
      <c r="H2" s="290" t="s">
        <v>297</v>
      </c>
      <c r="I2" s="290" t="s">
        <v>298</v>
      </c>
      <c r="J2" s="291"/>
      <c r="K2" s="291"/>
      <c r="L2" s="291"/>
      <c r="M2" s="291"/>
    </row>
    <row r="4" spans="1:13">
      <c r="A4" s="292" t="s">
        <v>299</v>
      </c>
      <c r="B4" s="293" t="s">
        <v>152</v>
      </c>
      <c r="C4" s="294">
        <f>'Перекресток - Совхоз Ленина'!C69</f>
        <v>20356</v>
      </c>
    </row>
    <row r="5" spans="1:13">
      <c r="C5" s="296"/>
      <c r="G5" s="297"/>
    </row>
    <row r="6" spans="1:13">
      <c r="G6" s="297"/>
    </row>
    <row r="8" spans="1:13">
      <c r="F8" s="299"/>
      <c r="G8" s="299"/>
      <c r="H8" s="299"/>
      <c r="I8" s="299"/>
      <c r="J8" s="299"/>
      <c r="K8" s="299"/>
      <c r="L8" s="299"/>
      <c r="M8" s="299"/>
    </row>
    <row r="9" spans="1:13">
      <c r="C9" s="296"/>
      <c r="F9" s="298"/>
      <c r="G9" s="298"/>
      <c r="H9" s="376">
        <f>G10/F10-1</f>
        <v>0.10410216109333326</v>
      </c>
      <c r="I9" s="376">
        <f>G15/F15-1</f>
        <v>0.10000000000000009</v>
      </c>
      <c r="J9" s="299"/>
      <c r="K9" s="299"/>
      <c r="L9" s="299"/>
      <c r="M9" s="299"/>
    </row>
    <row r="10" spans="1:13">
      <c r="A10" s="292" t="s">
        <v>300</v>
      </c>
      <c r="B10" s="292" t="s">
        <v>301</v>
      </c>
      <c r="F10" s="300">
        <f>'Managing report_3Q24'!F34/ (10^6)</f>
        <v>375</v>
      </c>
      <c r="G10" s="300">
        <f>'Managing report_3Q24'!G34/ (10^6)</f>
        <v>414.03831040999995</v>
      </c>
      <c r="H10" s="300"/>
      <c r="I10" s="300"/>
      <c r="J10" s="301"/>
      <c r="K10" s="301"/>
      <c r="L10" s="301"/>
      <c r="M10" s="301"/>
    </row>
    <row r="11" spans="1:13">
      <c r="A11" s="292" t="s">
        <v>302</v>
      </c>
      <c r="B11" s="292" t="s">
        <v>301</v>
      </c>
      <c r="F11" s="300">
        <f>'Managing report_3Q24'!F36/(10^6)</f>
        <v>151.4</v>
      </c>
      <c r="G11" s="300">
        <f>'Managing report_3Q24'!G36/(10^6)</f>
        <v>210.221</v>
      </c>
      <c r="H11" s="300"/>
      <c r="I11" s="300"/>
      <c r="J11" s="301"/>
      <c r="K11" s="301"/>
      <c r="L11" s="301"/>
      <c r="M11" s="301"/>
    </row>
    <row r="12" spans="1:13">
      <c r="A12" s="292" t="s">
        <v>54</v>
      </c>
      <c r="B12" s="292" t="s">
        <v>301</v>
      </c>
      <c r="F12" s="300">
        <f>'Managing report_3Q24'!F35/(10^6)</f>
        <v>303.78238399999998</v>
      </c>
      <c r="G12" s="300">
        <f>'Managing report_3Q24'!G35/(10^6)</f>
        <v>290.98158931</v>
      </c>
      <c r="H12" s="302"/>
      <c r="I12" s="302"/>
      <c r="J12" s="301"/>
      <c r="K12" s="301"/>
      <c r="L12" s="301"/>
      <c r="M12" s="301"/>
    </row>
    <row r="14" spans="1:13" ht="17.399999999999999">
      <c r="B14" s="293"/>
      <c r="F14" s="305" t="str">
        <f>F2</f>
        <v>Покупка объекта</v>
      </c>
      <c r="G14" s="290" t="str">
        <f t="shared" ref="G14:H14" si="0">G2</f>
        <v>3 кв. 2024</v>
      </c>
      <c r="H14" s="291" t="str">
        <f t="shared" si="0"/>
        <v>4 кв. 2024</v>
      </c>
      <c r="I14" s="291"/>
      <c r="J14" s="291"/>
      <c r="K14" s="291"/>
      <c r="L14" s="291"/>
      <c r="M14" s="291"/>
    </row>
    <row r="15" spans="1:13">
      <c r="A15" s="292" t="s">
        <v>303</v>
      </c>
      <c r="B15" s="293" t="s">
        <v>139</v>
      </c>
      <c r="F15" s="300">
        <f>'Managing report_3Q24'!F37</f>
        <v>20000</v>
      </c>
      <c r="G15" s="300">
        <f>'Managing report_3Q24'!G37</f>
        <v>22000</v>
      </c>
      <c r="H15" s="300"/>
      <c r="I15" s="300"/>
      <c r="J15" s="300"/>
      <c r="K15" s="300"/>
      <c r="L15" s="300"/>
      <c r="M15" s="301"/>
    </row>
    <row r="16" spans="1:13">
      <c r="A16" s="292" t="s">
        <v>85</v>
      </c>
      <c r="B16" s="293" t="s">
        <v>139</v>
      </c>
      <c r="C16" s="296"/>
      <c r="F16" s="300">
        <f>'Managing report_3Q24'!F38</f>
        <v>0</v>
      </c>
      <c r="G16" s="300">
        <v>10000</v>
      </c>
      <c r="H16" s="300"/>
      <c r="I16" s="300"/>
      <c r="J16" s="300"/>
      <c r="K16" s="300"/>
      <c r="L16" s="300"/>
      <c r="M16" s="301"/>
    </row>
    <row r="17" spans="6:12">
      <c r="F17" s="303"/>
      <c r="G17" s="303">
        <v>400</v>
      </c>
      <c r="H17" s="303"/>
      <c r="I17" s="303"/>
      <c r="J17" s="303"/>
      <c r="K17" s="303"/>
      <c r="L17" s="303"/>
    </row>
    <row r="18" spans="6:12">
      <c r="G18" s="297"/>
    </row>
    <row r="19" spans="6:12">
      <c r="G19" s="297"/>
    </row>
    <row r="20" spans="6:12">
      <c r="G20" s="304"/>
      <c r="H20" s="304"/>
    </row>
    <row r="21" spans="6:12">
      <c r="G21" s="304"/>
      <c r="H21" s="304"/>
    </row>
    <row r="22" spans="6:12">
      <c r="G22" s="30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Калькулятор инвестора</vt:lpstr>
      <vt:lpstr>Перекресток - Совхоз Ленина</vt:lpstr>
      <vt:lpstr>Отчетность АО9 2024</vt:lpstr>
      <vt:lpstr>Лист3</vt:lpstr>
      <vt:lpstr>РТО Перекрестка</vt:lpstr>
      <vt:lpstr>Коммментарии</vt:lpstr>
      <vt:lpstr>Managing report_3Q24</vt:lpstr>
      <vt:lpstr>Stock Price &amp; Dividends  (2)</vt:lpstr>
      <vt:lpstr>Stock Price &amp; Dividends </vt:lpstr>
      <vt:lpstr>Лист1</vt:lpstr>
      <vt:lpstr>Sheet2</vt:lpstr>
      <vt:lpstr>Sheet1</vt:lpstr>
      <vt:lpstr>'Перекресток - Совхоз Ленина'!exit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VRyabov Investment Analyst @SimpleEstate</dc:creator>
  <cp:lastModifiedBy>Василий Рябов</cp:lastModifiedBy>
  <dcterms:created xsi:type="dcterms:W3CDTF">2023-03-28T06:36:12Z</dcterms:created>
  <dcterms:modified xsi:type="dcterms:W3CDTF">2024-12-13T06:40:15Z</dcterms:modified>
</cp:coreProperties>
</file>